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ezione doppio T" sheetId="1" r:id="rId1"/>
    <sheet name="Sezione doppio T modificato" sheetId="2" r:id="rId2"/>
    <sheet name="Momenti flettenti" sheetId="3" r:id="rId3"/>
    <sheet name="Fuso e Cavo" sheetId="4" r:id="rId4"/>
    <sheet name="Fuso e Cavo nella trave" sheetId="5" r:id="rId5"/>
  </sheets>
  <definedNames/>
  <calcPr fullCalcOnLoad="1"/>
</workbook>
</file>

<file path=xl/sharedStrings.xml><?xml version="1.0" encoding="utf-8"?>
<sst xmlns="http://schemas.openxmlformats.org/spreadsheetml/2006/main" count="605" uniqueCount="175">
  <si>
    <t>Sezione a doppio T equivalente:</t>
  </si>
  <si>
    <r>
      <t>b</t>
    </r>
    <r>
      <rPr>
        <b/>
        <sz val="8"/>
        <rFont val="Arial"/>
        <family val="2"/>
      </rPr>
      <t>1</t>
    </r>
  </si>
  <si>
    <r>
      <t>b</t>
    </r>
    <r>
      <rPr>
        <b/>
        <sz val="8"/>
        <rFont val="Arial"/>
        <family val="2"/>
      </rPr>
      <t>2</t>
    </r>
  </si>
  <si>
    <t>H</t>
  </si>
  <si>
    <t>t</t>
  </si>
  <si>
    <r>
      <t>d</t>
    </r>
    <r>
      <rPr>
        <b/>
        <sz val="8"/>
        <rFont val="Arial"/>
        <family val="2"/>
      </rPr>
      <t>1</t>
    </r>
  </si>
  <si>
    <r>
      <t>d</t>
    </r>
    <r>
      <rPr>
        <b/>
        <sz val="8"/>
        <rFont val="Arial"/>
        <family val="2"/>
      </rPr>
      <t>2</t>
    </r>
  </si>
  <si>
    <t>h</t>
  </si>
  <si>
    <t>h'</t>
  </si>
  <si>
    <t>mm</t>
  </si>
  <si>
    <t>L</t>
  </si>
  <si>
    <t>m</t>
  </si>
  <si>
    <r>
      <t>A</t>
    </r>
    <r>
      <rPr>
        <b/>
        <sz val="8"/>
        <rFont val="Arial"/>
        <family val="2"/>
      </rPr>
      <t>1</t>
    </r>
  </si>
  <si>
    <r>
      <t>A</t>
    </r>
    <r>
      <rPr>
        <b/>
        <sz val="8"/>
        <rFont val="Arial"/>
        <family val="2"/>
      </rPr>
      <t>2</t>
    </r>
  </si>
  <si>
    <r>
      <t>A</t>
    </r>
    <r>
      <rPr>
        <b/>
        <sz val="8"/>
        <rFont val="Arial"/>
        <family val="2"/>
      </rPr>
      <t>3</t>
    </r>
  </si>
  <si>
    <t>mmq</t>
  </si>
  <si>
    <t>Vc</t>
  </si>
  <si>
    <t>s</t>
  </si>
  <si>
    <t>mc</t>
  </si>
  <si>
    <t>V</t>
  </si>
  <si>
    <t>Pt</t>
  </si>
  <si>
    <r>
      <t>r</t>
    </r>
    <r>
      <rPr>
        <b/>
        <sz val="10"/>
        <rFont val="Arial"/>
        <family val="2"/>
      </rPr>
      <t>ca</t>
    </r>
  </si>
  <si>
    <t>kN/mc</t>
  </si>
  <si>
    <t>kN/m</t>
  </si>
  <si>
    <t>mm^4</t>
  </si>
  <si>
    <t>Carichi:</t>
  </si>
  <si>
    <t>Pp</t>
  </si>
  <si>
    <t>Pu</t>
  </si>
  <si>
    <t>p0</t>
  </si>
  <si>
    <t>p1</t>
  </si>
  <si>
    <t>Calcestruzzo:</t>
  </si>
  <si>
    <r>
      <t>R</t>
    </r>
    <r>
      <rPr>
        <b/>
        <sz val="8"/>
        <rFont val="Arial"/>
        <family val="2"/>
      </rPr>
      <t>ck</t>
    </r>
  </si>
  <si>
    <r>
      <t>R</t>
    </r>
    <r>
      <rPr>
        <b/>
        <sz val="8"/>
        <rFont val="Arial"/>
        <family val="2"/>
      </rPr>
      <t>ckj</t>
    </r>
  </si>
  <si>
    <r>
      <t>s</t>
    </r>
    <r>
      <rPr>
        <b/>
        <sz val="8"/>
        <rFont val="Arial"/>
        <family val="2"/>
      </rPr>
      <t>0</t>
    </r>
    <r>
      <rPr>
        <b/>
        <sz val="6"/>
        <rFont val="Arial"/>
        <family val="2"/>
      </rPr>
      <t>c</t>
    </r>
  </si>
  <si>
    <r>
      <t>s</t>
    </r>
    <r>
      <rPr>
        <b/>
        <sz val="8"/>
        <rFont val="Arial"/>
        <family val="2"/>
      </rPr>
      <t>0</t>
    </r>
    <r>
      <rPr>
        <b/>
        <sz val="6"/>
        <rFont val="Arial"/>
        <family val="2"/>
      </rPr>
      <t>t</t>
    </r>
  </si>
  <si>
    <r>
      <t>s</t>
    </r>
    <r>
      <rPr>
        <b/>
        <sz val="8"/>
        <rFont val="Arial"/>
        <family val="2"/>
      </rPr>
      <t>1</t>
    </r>
    <r>
      <rPr>
        <b/>
        <sz val="6"/>
        <rFont val="Arial"/>
        <family val="2"/>
      </rPr>
      <t>c</t>
    </r>
  </si>
  <si>
    <r>
      <t>s</t>
    </r>
    <r>
      <rPr>
        <b/>
        <sz val="8"/>
        <rFont val="Arial"/>
        <family val="2"/>
      </rPr>
      <t>1</t>
    </r>
    <r>
      <rPr>
        <b/>
        <sz val="6"/>
        <rFont val="Arial"/>
        <family val="2"/>
      </rPr>
      <t>t</t>
    </r>
  </si>
  <si>
    <r>
      <t>f</t>
    </r>
    <r>
      <rPr>
        <b/>
        <sz val="8"/>
        <rFont val="Arial"/>
        <family val="2"/>
      </rPr>
      <t>ck</t>
    </r>
  </si>
  <si>
    <r>
      <t>E</t>
    </r>
    <r>
      <rPr>
        <b/>
        <sz val="8"/>
        <rFont val="Arial"/>
        <family val="2"/>
      </rPr>
      <t>c</t>
    </r>
  </si>
  <si>
    <t>MPa=N/mm^2</t>
  </si>
  <si>
    <t>Cavi di precompressione:</t>
  </si>
  <si>
    <t>Armatura ordinaria: ( FeB 38 k )</t>
  </si>
  <si>
    <r>
      <t>f</t>
    </r>
    <r>
      <rPr>
        <b/>
        <sz val="8"/>
        <rFont val="Arial"/>
        <family val="2"/>
      </rPr>
      <t>ptk</t>
    </r>
  </si>
  <si>
    <r>
      <t>f</t>
    </r>
    <r>
      <rPr>
        <b/>
        <sz val="8"/>
        <rFont val="Arial"/>
        <family val="2"/>
      </rPr>
      <t>p(0,2)k</t>
    </r>
  </si>
  <si>
    <r>
      <t>s</t>
    </r>
    <r>
      <rPr>
        <b/>
        <sz val="8"/>
        <rFont val="Arial"/>
        <family val="2"/>
      </rPr>
      <t>spi</t>
    </r>
  </si>
  <si>
    <r>
      <t>s</t>
    </r>
    <r>
      <rPr>
        <b/>
        <sz val="8"/>
        <rFont val="Arial"/>
        <family val="2"/>
      </rPr>
      <t>sp</t>
    </r>
  </si>
  <si>
    <t>b</t>
  </si>
  <si>
    <r>
      <t>s</t>
    </r>
    <r>
      <rPr>
        <b/>
        <sz val="8"/>
        <rFont val="Arial"/>
        <family val="2"/>
      </rPr>
      <t>si</t>
    </r>
  </si>
  <si>
    <r>
      <t>s</t>
    </r>
    <r>
      <rPr>
        <b/>
        <sz val="8"/>
        <rFont val="Arial"/>
        <family val="2"/>
      </rPr>
      <t>s</t>
    </r>
  </si>
  <si>
    <r>
      <t>N</t>
    </r>
    <r>
      <rPr>
        <sz val="6"/>
        <rFont val="Arial"/>
        <family val="2"/>
      </rPr>
      <t>0</t>
    </r>
    <r>
      <rPr>
        <sz val="8"/>
        <rFont val="Arial"/>
        <family val="2"/>
      </rPr>
      <t>/N</t>
    </r>
  </si>
  <si>
    <r>
      <t>J</t>
    </r>
    <r>
      <rPr>
        <b/>
        <sz val="8"/>
        <rFont val="Arial"/>
        <family val="2"/>
      </rPr>
      <t>1</t>
    </r>
  </si>
  <si>
    <r>
      <t>J</t>
    </r>
    <r>
      <rPr>
        <b/>
        <sz val="8"/>
        <rFont val="Arial"/>
        <family val="2"/>
      </rPr>
      <t>2</t>
    </r>
  </si>
  <si>
    <r>
      <t>J</t>
    </r>
    <r>
      <rPr>
        <b/>
        <sz val="8"/>
        <rFont val="Arial"/>
        <family val="2"/>
      </rPr>
      <t>3</t>
    </r>
  </si>
  <si>
    <r>
      <t>J</t>
    </r>
    <r>
      <rPr>
        <b/>
        <sz val="8"/>
        <rFont val="Arial"/>
        <family val="2"/>
      </rPr>
      <t>1t</t>
    </r>
  </si>
  <si>
    <r>
      <t>J</t>
    </r>
    <r>
      <rPr>
        <b/>
        <sz val="8"/>
        <rFont val="Arial"/>
        <family val="2"/>
      </rPr>
      <t>2t</t>
    </r>
  </si>
  <si>
    <r>
      <t>J</t>
    </r>
    <r>
      <rPr>
        <b/>
        <sz val="8"/>
        <rFont val="Arial"/>
        <family val="2"/>
      </rPr>
      <t>3t</t>
    </r>
  </si>
  <si>
    <t>Azioni flettenti in mezzeria:</t>
  </si>
  <si>
    <t>M0</t>
  </si>
  <si>
    <t>M1</t>
  </si>
  <si>
    <t>kNm</t>
  </si>
  <si>
    <t>Dimensionamento della sezione e della precompressione:</t>
  </si>
  <si>
    <t>N</t>
  </si>
  <si>
    <t>kN</t>
  </si>
  <si>
    <t>d2 = 0 ; b2 = 0</t>
  </si>
  <si>
    <t>Verifica della sezione in mezzeria:</t>
  </si>
  <si>
    <t>Lembo superiore teso</t>
  </si>
  <si>
    <t>Lembo inferiore compresso</t>
  </si>
  <si>
    <r>
      <t>y</t>
    </r>
    <r>
      <rPr>
        <b/>
        <sz val="8"/>
        <rFont val="Arial"/>
        <family val="2"/>
      </rPr>
      <t>s</t>
    </r>
  </si>
  <si>
    <r>
      <t>y</t>
    </r>
    <r>
      <rPr>
        <b/>
        <sz val="8"/>
        <rFont val="Arial"/>
        <family val="2"/>
      </rPr>
      <t>i</t>
    </r>
  </si>
  <si>
    <r>
      <t>s</t>
    </r>
    <r>
      <rPr>
        <b/>
        <sz val="8"/>
        <rFont val="Arial"/>
        <family val="2"/>
      </rPr>
      <t>s</t>
    </r>
    <r>
      <rPr>
        <b/>
        <sz val="6"/>
        <rFont val="Arial"/>
        <family val="2"/>
      </rPr>
      <t>0</t>
    </r>
  </si>
  <si>
    <r>
      <t>s</t>
    </r>
    <r>
      <rPr>
        <b/>
        <sz val="8"/>
        <rFont val="Arial"/>
        <family val="2"/>
      </rPr>
      <t>i</t>
    </r>
    <r>
      <rPr>
        <b/>
        <sz val="6"/>
        <rFont val="Arial"/>
        <family val="2"/>
      </rPr>
      <t>0</t>
    </r>
  </si>
  <si>
    <t>&lt; 3,40</t>
  </si>
  <si>
    <t>&lt;20,40</t>
  </si>
  <si>
    <t>Lembo superiore compresso</t>
  </si>
  <si>
    <t>Lembo inferiore teso</t>
  </si>
  <si>
    <r>
      <t>s</t>
    </r>
    <r>
      <rPr>
        <b/>
        <sz val="8"/>
        <rFont val="Arial"/>
        <family val="2"/>
      </rPr>
      <t>s</t>
    </r>
    <r>
      <rPr>
        <b/>
        <sz val="6"/>
        <rFont val="Arial"/>
        <family val="2"/>
      </rPr>
      <t>1</t>
    </r>
  </si>
  <si>
    <r>
      <t>s</t>
    </r>
    <r>
      <rPr>
        <b/>
        <sz val="8"/>
        <rFont val="Arial"/>
        <family val="2"/>
      </rPr>
      <t>i</t>
    </r>
    <r>
      <rPr>
        <b/>
        <sz val="6"/>
        <rFont val="Arial"/>
        <family val="2"/>
      </rPr>
      <t>1</t>
    </r>
  </si>
  <si>
    <t>&lt; 19,00</t>
  </si>
  <si>
    <t>&lt; 3,00</t>
  </si>
  <si>
    <t>Tiro:</t>
  </si>
  <si>
    <t>Regime:</t>
  </si>
  <si>
    <t>A</t>
  </si>
  <si>
    <t>Aapp</t>
  </si>
  <si>
    <t>Vapp</t>
  </si>
  <si>
    <t>Lapp</t>
  </si>
  <si>
    <t>Lcampata</t>
  </si>
  <si>
    <t>J</t>
  </si>
  <si>
    <t>Fuso di Guyon e cavo risultante:</t>
  </si>
  <si>
    <r>
      <t>e'</t>
    </r>
    <r>
      <rPr>
        <b/>
        <sz val="8"/>
        <rFont val="Arial"/>
        <family val="2"/>
      </rPr>
      <t>0</t>
    </r>
  </si>
  <si>
    <r>
      <t>e''</t>
    </r>
    <r>
      <rPr>
        <b/>
        <sz val="8"/>
        <rFont val="Arial"/>
        <family val="2"/>
      </rPr>
      <t>0</t>
    </r>
  </si>
  <si>
    <r>
      <t>e</t>
    </r>
    <r>
      <rPr>
        <b/>
        <sz val="8"/>
        <rFont val="Arial"/>
        <family val="2"/>
      </rPr>
      <t>0</t>
    </r>
  </si>
  <si>
    <r>
      <t>e'</t>
    </r>
    <r>
      <rPr>
        <b/>
        <sz val="8"/>
        <rFont val="Arial"/>
        <family val="2"/>
      </rPr>
      <t>1</t>
    </r>
  </si>
  <si>
    <r>
      <t>e''</t>
    </r>
    <r>
      <rPr>
        <b/>
        <sz val="8"/>
        <rFont val="Arial"/>
        <family val="2"/>
      </rPr>
      <t>1</t>
    </r>
  </si>
  <si>
    <r>
      <t>e</t>
    </r>
    <r>
      <rPr>
        <b/>
        <sz val="8"/>
        <rFont val="Arial"/>
        <family val="2"/>
      </rPr>
      <t>1</t>
    </r>
  </si>
  <si>
    <t>Fuso di Guyon:</t>
  </si>
  <si>
    <t>Cavo risultante:</t>
  </si>
  <si>
    <t>x</t>
  </si>
  <si>
    <r>
      <t>M</t>
    </r>
    <r>
      <rPr>
        <b/>
        <sz val="8"/>
        <rFont val="Arial"/>
        <family val="2"/>
      </rPr>
      <t>0</t>
    </r>
  </si>
  <si>
    <r>
      <t>M</t>
    </r>
    <r>
      <rPr>
        <b/>
        <sz val="8"/>
        <rFont val="Arial"/>
        <family val="2"/>
      </rPr>
      <t>1</t>
    </r>
  </si>
  <si>
    <r>
      <t>d</t>
    </r>
    <r>
      <rPr>
        <b/>
        <sz val="8"/>
        <rFont val="Arial"/>
        <family val="2"/>
      </rPr>
      <t>0</t>
    </r>
  </si>
  <si>
    <t>e(x)</t>
  </si>
  <si>
    <t>f</t>
  </si>
  <si>
    <t>Carico distribuito equivalente alla precompressione:</t>
  </si>
  <si>
    <r>
      <t>p*</t>
    </r>
    <r>
      <rPr>
        <b/>
        <sz val="8"/>
        <rFont val="Arial"/>
        <family val="2"/>
      </rPr>
      <t>0</t>
    </r>
  </si>
  <si>
    <r>
      <t>p*</t>
    </r>
    <r>
      <rPr>
        <b/>
        <sz val="8"/>
        <rFont val="Arial"/>
        <family val="2"/>
      </rPr>
      <t>1</t>
    </r>
  </si>
  <si>
    <t>kN/m=N/mm</t>
  </si>
  <si>
    <t>Freccia in mezzeria:</t>
  </si>
  <si>
    <t>Tiro</t>
  </si>
  <si>
    <t>Regime</t>
  </si>
  <si>
    <r>
      <t>p</t>
    </r>
    <r>
      <rPr>
        <b/>
        <sz val="8"/>
        <rFont val="Arial"/>
        <family val="2"/>
      </rPr>
      <t>0</t>
    </r>
    <r>
      <rPr>
        <b/>
        <sz val="6"/>
        <rFont val="Arial"/>
        <family val="2"/>
      </rPr>
      <t>tot</t>
    </r>
  </si>
  <si>
    <r>
      <t>p</t>
    </r>
    <r>
      <rPr>
        <b/>
        <sz val="8"/>
        <rFont val="Arial"/>
        <family val="2"/>
      </rPr>
      <t>1</t>
    </r>
    <r>
      <rPr>
        <b/>
        <sz val="6"/>
        <rFont val="Arial"/>
        <family val="2"/>
      </rPr>
      <t>tot</t>
    </r>
  </si>
  <si>
    <r>
      <t>h</t>
    </r>
    <r>
      <rPr>
        <b/>
        <sz val="8"/>
        <rFont val="Arial"/>
        <family val="2"/>
      </rPr>
      <t>0</t>
    </r>
  </si>
  <si>
    <r>
      <t>h</t>
    </r>
    <r>
      <rPr>
        <b/>
        <sz val="8"/>
        <rFont val="Arial"/>
        <family val="2"/>
      </rPr>
      <t>1</t>
    </r>
  </si>
  <si>
    <r>
      <t>S</t>
    </r>
    <r>
      <rPr>
        <b/>
        <sz val="8"/>
        <rFont val="Arial"/>
        <family val="2"/>
      </rPr>
      <t>B</t>
    </r>
  </si>
  <si>
    <r>
      <t>A</t>
    </r>
    <r>
      <rPr>
        <b/>
        <sz val="8"/>
        <rFont val="Arial"/>
        <family val="2"/>
      </rPr>
      <t>tot</t>
    </r>
  </si>
  <si>
    <t>mmc</t>
  </si>
  <si>
    <r>
      <t>s</t>
    </r>
    <r>
      <rPr>
        <b/>
        <sz val="8"/>
        <rFont val="Arial"/>
        <family val="2"/>
      </rPr>
      <t>1</t>
    </r>
  </si>
  <si>
    <r>
      <t>s</t>
    </r>
    <r>
      <rPr>
        <b/>
        <sz val="8"/>
        <rFont val="Arial"/>
        <family val="2"/>
      </rPr>
      <t>2</t>
    </r>
  </si>
  <si>
    <t>MPa</t>
  </si>
  <si>
    <t>Verifica delle tensioni principali nella sezione di interfaccia sull'appoggio:</t>
  </si>
  <si>
    <r>
      <t>t</t>
    </r>
    <r>
      <rPr>
        <b/>
        <sz val="10"/>
        <rFont val="Arial"/>
        <family val="2"/>
      </rPr>
      <t>b</t>
    </r>
  </si>
  <si>
    <r>
      <t>s</t>
    </r>
    <r>
      <rPr>
        <b/>
        <sz val="10"/>
        <rFont val="Arial"/>
        <family val="2"/>
      </rPr>
      <t>b</t>
    </r>
  </si>
  <si>
    <t>&lt; 3 MPa</t>
  </si>
  <si>
    <t>&lt; 19 MPa</t>
  </si>
  <si>
    <t>Scelta dei cavi di precompressione:</t>
  </si>
  <si>
    <t>sezione</t>
  </si>
  <si>
    <t>F</t>
  </si>
  <si>
    <t>tipo:</t>
  </si>
  <si>
    <t>Rottura</t>
  </si>
  <si>
    <t>Max a regime</t>
  </si>
  <si>
    <t>Max al tiro</t>
  </si>
  <si>
    <t>Carico singolo cavo:</t>
  </si>
  <si>
    <t>Precompressione massima:</t>
  </si>
  <si>
    <t>n° cavi</t>
  </si>
  <si>
    <t>&gt; N0</t>
  </si>
  <si>
    <t>&gt; N</t>
  </si>
  <si>
    <t>Guaina:</t>
  </si>
  <si>
    <t>d</t>
  </si>
  <si>
    <t>D</t>
  </si>
  <si>
    <t>VSL PT PLUS 6/19</t>
  </si>
  <si>
    <t>Cavi richiesti:</t>
  </si>
  <si>
    <t>Azioni:</t>
  </si>
  <si>
    <t>N a regime</t>
  </si>
  <si>
    <t>N al tiro</t>
  </si>
  <si>
    <t>N1</t>
  </si>
  <si>
    <t>N2</t>
  </si>
  <si>
    <t>trefoli a regime</t>
  </si>
  <si>
    <t>trefoli al tiro</t>
  </si>
  <si>
    <t>t &gt; 3 D</t>
  </si>
  <si>
    <t>Perdite per attrito:</t>
  </si>
  <si>
    <t>fc</t>
  </si>
  <si>
    <t>guaina d'acciaio</t>
  </si>
  <si>
    <t>rad/m</t>
  </si>
  <si>
    <r>
      <t>2</t>
    </r>
    <r>
      <rPr>
        <b/>
        <sz val="10"/>
        <rFont val="GreekC"/>
        <family val="0"/>
      </rPr>
      <t>f</t>
    </r>
  </si>
  <si>
    <t>rad</t>
  </si>
  <si>
    <t>de(x)/dx</t>
  </si>
  <si>
    <r>
      <t>D</t>
    </r>
    <r>
      <rPr>
        <b/>
        <sz val="10"/>
        <rFont val="Arial"/>
        <family val="2"/>
      </rPr>
      <t>N</t>
    </r>
  </si>
  <si>
    <r>
      <t>N</t>
    </r>
    <r>
      <rPr>
        <b/>
        <sz val="8"/>
        <rFont val="Arial"/>
        <family val="2"/>
      </rPr>
      <t>N</t>
    </r>
  </si>
  <si>
    <t>Tiro nominale:</t>
  </si>
  <si>
    <t>Mobile + mobile</t>
  </si>
  <si>
    <t>Mobile + fissa</t>
  </si>
  <si>
    <t>a regime</t>
  </si>
  <si>
    <t>al tiro</t>
  </si>
  <si>
    <t>Armatura lenta minima:</t>
  </si>
  <si>
    <r>
      <t>As</t>
    </r>
    <r>
      <rPr>
        <b/>
        <sz val="8"/>
        <rFont val="Arial"/>
        <family val="2"/>
      </rPr>
      <t>min</t>
    </r>
  </si>
  <si>
    <r>
      <t>F</t>
    </r>
    <r>
      <rPr>
        <b/>
        <sz val="10"/>
        <rFont val="Arial"/>
        <family val="2"/>
      </rPr>
      <t>16</t>
    </r>
  </si>
  <si>
    <t>equivale a</t>
  </si>
  <si>
    <t>( modificata )</t>
  </si>
  <si>
    <r>
      <t>I</t>
    </r>
    <r>
      <rPr>
        <b/>
        <sz val="10"/>
        <rFont val="GreekC"/>
        <family val="0"/>
      </rPr>
      <t>s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I</t>
    </r>
  </si>
  <si>
    <r>
      <t>N</t>
    </r>
    <r>
      <rPr>
        <b/>
        <sz val="8"/>
        <rFont val="Arial"/>
        <family val="2"/>
      </rPr>
      <t>0</t>
    </r>
  </si>
  <si>
    <t>n° trefoli</t>
  </si>
  <si>
    <t>In mezzeria:</t>
  </si>
  <si>
    <t>Riferiti all'asse baricentrico della trave:</t>
  </si>
  <si>
    <t>L sup</t>
  </si>
  <si>
    <t>L inf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</si>
</sst>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E+00;\ᑸ"/>
    <numFmt numFmtId="165" formatCode="0.0"/>
    <numFmt numFmtId="166" formatCode="0.000"/>
    <numFmt numFmtId="167" formatCode="0.0000"/>
    <numFmt numFmtId="168" formatCode="0.000000"/>
    <numFmt numFmtId="169" formatCode="0.00000"/>
    <numFmt numFmtId="170" formatCode="0.00000000"/>
    <numFmt numFmtId="171" formatCode="0.0000000"/>
    <numFmt numFmtId="172" formatCode="0.000000000"/>
    <numFmt numFmtId="173" formatCode="0.0000000000"/>
    <numFmt numFmtId="174" formatCode="0.0000E+00;\ĝ"/>
    <numFmt numFmtId="175" formatCode="0.0000E+00;\ᑸ"/>
    <numFmt numFmtId="176" formatCode="0.00000E+00;\ᑸ"/>
    <numFmt numFmtId="177" formatCode="0.000000000000"/>
    <numFmt numFmtId="178" formatCode="0.0000000000000"/>
    <numFmt numFmtId="179" formatCode="0.00000000000000000"/>
    <numFmt numFmtId="180" formatCode="0.0000E+00"/>
    <numFmt numFmtId="181" formatCode="0.000000E+00"/>
    <numFmt numFmtId="182" formatCode="0.000000000000E+00"/>
    <numFmt numFmtId="183" formatCode="0.00000000E+00"/>
    <numFmt numFmtId="184" formatCode="0.00000000000"/>
    <numFmt numFmtId="185" formatCode="0.00000000000000"/>
    <numFmt numFmtId="186" formatCode="0.000000000000000"/>
    <numFmt numFmtId="187" formatCode="0.0000000000000000"/>
    <numFmt numFmtId="188" formatCode="0.000E+00"/>
  </numFmts>
  <fonts count="1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GreekC"/>
      <family val="0"/>
    </font>
    <font>
      <b/>
      <sz val="12"/>
      <name val="GreekC"/>
      <family val="0"/>
    </font>
    <font>
      <b/>
      <sz val="6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GreekS"/>
      <family val="0"/>
    </font>
    <font>
      <sz val="26.5"/>
      <name val="Arial"/>
      <family val="0"/>
    </font>
    <font>
      <sz val="12"/>
      <name val="Arial"/>
      <family val="2"/>
    </font>
    <font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0" xfId="0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0" fontId="4" fillId="2" borderId="3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166" fontId="2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2" fillId="2" borderId="3" xfId="0" applyNumberFormat="1" applyFont="1" applyFill="1" applyBorder="1" applyAlignment="1">
      <alignment/>
    </xf>
    <xf numFmtId="166" fontId="0" fillId="2" borderId="2" xfId="0" applyNumberFormat="1" applyFill="1" applyBorder="1" applyAlignment="1">
      <alignment/>
    </xf>
    <xf numFmtId="1" fontId="0" fillId="2" borderId="4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2" borderId="10" xfId="0" applyNumberForma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1" fontId="0" fillId="2" borderId="5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2" borderId="10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1" fontId="0" fillId="2" borderId="12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'Sezione doppio T modificato'!$B$69:$B$70</c:f>
              <c:strCache>
                <c:ptCount val="1"/>
                <c:pt idx="0">
                  <c:v>M0 kNm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'Sezione doppio T modificato'!$A$71:$A$155</c:f>
              <c:numCache>
                <c:ptCount val="8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20.565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41.13</c:v>
                </c:pt>
              </c:numCache>
            </c:numRef>
          </c:cat>
          <c:val>
            <c:numRef>
              <c:f>'Sezione doppio T modificato'!$B$71:$B$155</c:f>
              <c:numCache>
                <c:ptCount val="85"/>
                <c:pt idx="0">
                  <c:v>0</c:v>
                </c:pt>
                <c:pt idx="1">
                  <c:v>750.5998300791599</c:v>
                </c:pt>
                <c:pt idx="2">
                  <c:v>1482.7256303754216</c:v>
                </c:pt>
                <c:pt idx="3">
                  <c:v>2196.377400888785</c:v>
                </c:pt>
                <c:pt idx="4">
                  <c:v>2891.5551416192498</c:v>
                </c:pt>
                <c:pt idx="5">
                  <c:v>3568.2588525668166</c:v>
                </c:pt>
                <c:pt idx="6">
                  <c:v>4226.4885337314845</c:v>
                </c:pt>
                <c:pt idx="7">
                  <c:v>4866.244185113254</c:v>
                </c:pt>
                <c:pt idx="8">
                  <c:v>5487.525806712126</c:v>
                </c:pt>
                <c:pt idx="9">
                  <c:v>6090.3333985281</c:v>
                </c:pt>
                <c:pt idx="10">
                  <c:v>6674.666960561174</c:v>
                </c:pt>
                <c:pt idx="11">
                  <c:v>7240.52649281135</c:v>
                </c:pt>
                <c:pt idx="12">
                  <c:v>7787.911995278629</c:v>
                </c:pt>
                <c:pt idx="13">
                  <c:v>8316.823467963008</c:v>
                </c:pt>
                <c:pt idx="14">
                  <c:v>8827.260910864488</c:v>
                </c:pt>
                <c:pt idx="15">
                  <c:v>9319.224323983073</c:v>
                </c:pt>
                <c:pt idx="16">
                  <c:v>9792.713707318757</c:v>
                </c:pt>
                <c:pt idx="17">
                  <c:v>10247.729060871545</c:v>
                </c:pt>
                <c:pt idx="18">
                  <c:v>10684.270384641432</c:v>
                </c:pt>
                <c:pt idx="19">
                  <c:v>11102.337678628423</c:v>
                </c:pt>
                <c:pt idx="20">
                  <c:v>11501.930942832514</c:v>
                </c:pt>
                <c:pt idx="21">
                  <c:v>11883.050177253705</c:v>
                </c:pt>
                <c:pt idx="22">
                  <c:v>12245.695381892</c:v>
                </c:pt>
                <c:pt idx="23">
                  <c:v>12589.866556747396</c:v>
                </c:pt>
                <c:pt idx="24">
                  <c:v>12915.563701819894</c:v>
                </c:pt>
                <c:pt idx="25">
                  <c:v>13222.786817109494</c:v>
                </c:pt>
                <c:pt idx="26">
                  <c:v>13511.535902616195</c:v>
                </c:pt>
                <c:pt idx="27">
                  <c:v>13781.810958339998</c:v>
                </c:pt>
                <c:pt idx="28">
                  <c:v>14033.611984280902</c:v>
                </c:pt>
                <c:pt idx="29">
                  <c:v>14266.938980438908</c:v>
                </c:pt>
                <c:pt idx="30">
                  <c:v>14481.791946814017</c:v>
                </c:pt>
                <c:pt idx="31">
                  <c:v>14678.170883406226</c:v>
                </c:pt>
                <c:pt idx="32">
                  <c:v>14856.075790215538</c:v>
                </c:pt>
                <c:pt idx="33">
                  <c:v>15015.50666724195</c:v>
                </c:pt>
                <c:pt idx="34">
                  <c:v>15156.463514485466</c:v>
                </c:pt>
                <c:pt idx="35">
                  <c:v>15278.946331946081</c:v>
                </c:pt>
                <c:pt idx="36">
                  <c:v>15382.955119623799</c:v>
                </c:pt>
                <c:pt idx="37">
                  <c:v>15468.48987751862</c:v>
                </c:pt>
                <c:pt idx="38">
                  <c:v>15535.55060563054</c:v>
                </c:pt>
                <c:pt idx="39">
                  <c:v>15584.137303959564</c:v>
                </c:pt>
                <c:pt idx="40">
                  <c:v>15614.249972505688</c:v>
                </c:pt>
                <c:pt idx="41">
                  <c:v>15625.88861126891</c:v>
                </c:pt>
                <c:pt idx="42">
                  <c:v>15626.044716820577</c:v>
                </c:pt>
                <c:pt idx="43">
                  <c:v>15619.05322024924</c:v>
                </c:pt>
                <c:pt idx="44">
                  <c:v>15593.743799446669</c:v>
                </c:pt>
                <c:pt idx="45">
                  <c:v>15549.9603488612</c:v>
                </c:pt>
                <c:pt idx="46">
                  <c:v>15487.702868492832</c:v>
                </c:pt>
                <c:pt idx="47">
                  <c:v>15406.971358341567</c:v>
                </c:pt>
                <c:pt idx="48">
                  <c:v>15307.765818407403</c:v>
                </c:pt>
                <c:pt idx="49">
                  <c:v>15190.08624869034</c:v>
                </c:pt>
                <c:pt idx="50">
                  <c:v>15053.93264919038</c:v>
                </c:pt>
                <c:pt idx="51">
                  <c:v>14899.30501990752</c:v>
                </c:pt>
                <c:pt idx="52">
                  <c:v>14726.203360841764</c:v>
                </c:pt>
                <c:pt idx="53">
                  <c:v>14534.627671993108</c:v>
                </c:pt>
                <c:pt idx="54">
                  <c:v>14324.577953361553</c:v>
                </c:pt>
                <c:pt idx="55">
                  <c:v>14096.0542049471</c:v>
                </c:pt>
                <c:pt idx="56">
                  <c:v>13849.05642674975</c:v>
                </c:pt>
                <c:pt idx="57">
                  <c:v>13583.584618769499</c:v>
                </c:pt>
                <c:pt idx="58">
                  <c:v>13299.638781006353</c:v>
                </c:pt>
                <c:pt idx="59">
                  <c:v>12997.218913460307</c:v>
                </c:pt>
                <c:pt idx="60">
                  <c:v>12676.325016131364</c:v>
                </c:pt>
                <c:pt idx="61">
                  <c:v>12336.95708901952</c:v>
                </c:pt>
                <c:pt idx="62">
                  <c:v>11979.11513212478</c:v>
                </c:pt>
                <c:pt idx="63">
                  <c:v>11602.79914544714</c:v>
                </c:pt>
                <c:pt idx="64">
                  <c:v>11208.009128986603</c:v>
                </c:pt>
                <c:pt idx="65">
                  <c:v>10794.745082743166</c:v>
                </c:pt>
                <c:pt idx="66">
                  <c:v>10363.00700671683</c:v>
                </c:pt>
                <c:pt idx="67">
                  <c:v>9912.794900907598</c:v>
                </c:pt>
                <c:pt idx="68">
                  <c:v>9444.108765315466</c:v>
                </c:pt>
                <c:pt idx="69">
                  <c:v>8956.948599940439</c:v>
                </c:pt>
                <c:pt idx="70">
                  <c:v>8451.31440478251</c:v>
                </c:pt>
                <c:pt idx="71">
                  <c:v>7927.206179841685</c:v>
                </c:pt>
                <c:pt idx="72">
                  <c:v>7384.6239251179595</c:v>
                </c:pt>
                <c:pt idx="73">
                  <c:v>6823.567640611338</c:v>
                </c:pt>
                <c:pt idx="74">
                  <c:v>6244.037326321816</c:v>
                </c:pt>
                <c:pt idx="75">
                  <c:v>5646.032982249397</c:v>
                </c:pt>
                <c:pt idx="76">
                  <c:v>5029.554608394079</c:v>
                </c:pt>
                <c:pt idx="77">
                  <c:v>4394.602204755863</c:v>
                </c:pt>
                <c:pt idx="78">
                  <c:v>3741.1757713347483</c:v>
                </c:pt>
                <c:pt idx="79">
                  <c:v>3069.2753081307355</c:v>
                </c:pt>
                <c:pt idx="80">
                  <c:v>2378.9008151438243</c:v>
                </c:pt>
                <c:pt idx="81">
                  <c:v>1670.0522923740145</c:v>
                </c:pt>
                <c:pt idx="82">
                  <c:v>942.7297398213066</c:v>
                </c:pt>
                <c:pt idx="83">
                  <c:v>196.93315748570026</c:v>
                </c:pt>
                <c:pt idx="8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'Sezione doppio T modificato'!$C$69:$C$70</c:f>
              <c:strCache>
                <c:ptCount val="1"/>
                <c:pt idx="0">
                  <c:v>M1 kNm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'Sezione doppio T modificato'!$A$71:$A$155</c:f>
              <c:numCache>
                <c:ptCount val="8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20.565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41.13</c:v>
                </c:pt>
              </c:numCache>
            </c:numRef>
          </c:cat>
          <c:val>
            <c:numRef>
              <c:f>'Sezione doppio T modificato'!$C$71:$C$155</c:f>
              <c:numCache>
                <c:ptCount val="85"/>
                <c:pt idx="0">
                  <c:v>0</c:v>
                </c:pt>
                <c:pt idx="1">
                  <c:v>1461.62483007916</c:v>
                </c:pt>
                <c:pt idx="2">
                  <c:v>2887.2756303754218</c:v>
                </c:pt>
                <c:pt idx="3">
                  <c:v>4276.952400888785</c:v>
                </c:pt>
                <c:pt idx="4">
                  <c:v>5630.65514161925</c:v>
                </c:pt>
                <c:pt idx="5">
                  <c:v>6948.383852566817</c:v>
                </c:pt>
                <c:pt idx="6">
                  <c:v>8230.138533731484</c:v>
                </c:pt>
                <c:pt idx="7">
                  <c:v>9475.919185113255</c:v>
                </c:pt>
                <c:pt idx="8">
                  <c:v>10685.725806712126</c:v>
                </c:pt>
                <c:pt idx="9">
                  <c:v>11859.5583985281</c:v>
                </c:pt>
                <c:pt idx="10">
                  <c:v>12997.416960561175</c:v>
                </c:pt>
                <c:pt idx="11">
                  <c:v>14099.301492811352</c:v>
                </c:pt>
                <c:pt idx="12">
                  <c:v>15165.211995278629</c:v>
                </c:pt>
                <c:pt idx="13">
                  <c:v>16195.148467963008</c:v>
                </c:pt>
                <c:pt idx="14">
                  <c:v>17189.11091086449</c:v>
                </c:pt>
                <c:pt idx="15">
                  <c:v>18147.09932398307</c:v>
                </c:pt>
                <c:pt idx="16">
                  <c:v>19069.113707318756</c:v>
                </c:pt>
                <c:pt idx="17">
                  <c:v>19955.154060871544</c:v>
                </c:pt>
                <c:pt idx="18">
                  <c:v>20805.220384641434</c:v>
                </c:pt>
                <c:pt idx="19">
                  <c:v>21619.312678628423</c:v>
                </c:pt>
                <c:pt idx="20">
                  <c:v>22397.430942832514</c:v>
                </c:pt>
                <c:pt idx="21">
                  <c:v>23139.575177253708</c:v>
                </c:pt>
                <c:pt idx="22">
                  <c:v>23845.745381892004</c:v>
                </c:pt>
                <c:pt idx="23">
                  <c:v>24515.9415567474</c:v>
                </c:pt>
                <c:pt idx="24">
                  <c:v>25150.163701819893</c:v>
                </c:pt>
                <c:pt idx="25">
                  <c:v>25748.411817109492</c:v>
                </c:pt>
                <c:pt idx="26">
                  <c:v>26310.685902616195</c:v>
                </c:pt>
                <c:pt idx="27">
                  <c:v>26836.98595834</c:v>
                </c:pt>
                <c:pt idx="28">
                  <c:v>27327.311984280903</c:v>
                </c:pt>
                <c:pt idx="29">
                  <c:v>27781.663980438912</c:v>
                </c:pt>
                <c:pt idx="30">
                  <c:v>28200.041946814017</c:v>
                </c:pt>
                <c:pt idx="31">
                  <c:v>28582.44588340623</c:v>
                </c:pt>
                <c:pt idx="32">
                  <c:v>28928.875790215538</c:v>
                </c:pt>
                <c:pt idx="33">
                  <c:v>29239.33166724195</c:v>
                </c:pt>
                <c:pt idx="34">
                  <c:v>29513.813514485468</c:v>
                </c:pt>
                <c:pt idx="35">
                  <c:v>29752.32133194608</c:v>
                </c:pt>
                <c:pt idx="36">
                  <c:v>29954.8551196238</c:v>
                </c:pt>
                <c:pt idx="37">
                  <c:v>30121.41487751862</c:v>
                </c:pt>
                <c:pt idx="38">
                  <c:v>30252.000605630543</c:v>
                </c:pt>
                <c:pt idx="39">
                  <c:v>30346.612303959562</c:v>
                </c:pt>
                <c:pt idx="40">
                  <c:v>30405.249972505688</c:v>
                </c:pt>
                <c:pt idx="41">
                  <c:v>30427.913611268912</c:v>
                </c:pt>
                <c:pt idx="42">
                  <c:v>30428.21759182058</c:v>
                </c:pt>
                <c:pt idx="43">
                  <c:v>30414.603220249242</c:v>
                </c:pt>
                <c:pt idx="44">
                  <c:v>30365.31879944667</c:v>
                </c:pt>
                <c:pt idx="45">
                  <c:v>30280.060348861203</c:v>
                </c:pt>
                <c:pt idx="46">
                  <c:v>30158.827868492834</c:v>
                </c:pt>
                <c:pt idx="47">
                  <c:v>30001.62135834157</c:v>
                </c:pt>
                <c:pt idx="48">
                  <c:v>29808.440818407405</c:v>
                </c:pt>
                <c:pt idx="49">
                  <c:v>29579.28624869034</c:v>
                </c:pt>
                <c:pt idx="50">
                  <c:v>29314.157649190383</c:v>
                </c:pt>
                <c:pt idx="51">
                  <c:v>29013.055019907522</c:v>
                </c:pt>
                <c:pt idx="52">
                  <c:v>28675.978360841767</c:v>
                </c:pt>
                <c:pt idx="53">
                  <c:v>28302.927671993108</c:v>
                </c:pt>
                <c:pt idx="54">
                  <c:v>27893.902953361558</c:v>
                </c:pt>
                <c:pt idx="55">
                  <c:v>27448.904204947103</c:v>
                </c:pt>
                <c:pt idx="56">
                  <c:v>26967.931426749754</c:v>
                </c:pt>
                <c:pt idx="57">
                  <c:v>26450.984618769504</c:v>
                </c:pt>
                <c:pt idx="58">
                  <c:v>25898.063781006356</c:v>
                </c:pt>
                <c:pt idx="59">
                  <c:v>25309.16891346031</c:v>
                </c:pt>
                <c:pt idx="60">
                  <c:v>24684.300016131365</c:v>
                </c:pt>
                <c:pt idx="61">
                  <c:v>24023.45708901952</c:v>
                </c:pt>
                <c:pt idx="62">
                  <c:v>23326.640132124783</c:v>
                </c:pt>
                <c:pt idx="63">
                  <c:v>22593.849145447144</c:v>
                </c:pt>
                <c:pt idx="64">
                  <c:v>21825.084128986604</c:v>
                </c:pt>
                <c:pt idx="65">
                  <c:v>21020.34508274317</c:v>
                </c:pt>
                <c:pt idx="66">
                  <c:v>20179.632006716834</c:v>
                </c:pt>
                <c:pt idx="67">
                  <c:v>19302.9449009076</c:v>
                </c:pt>
                <c:pt idx="68">
                  <c:v>18390.28376531547</c:v>
                </c:pt>
                <c:pt idx="69">
                  <c:v>17441.648599940443</c:v>
                </c:pt>
                <c:pt idx="70">
                  <c:v>16457.039404782514</c:v>
                </c:pt>
                <c:pt idx="71">
                  <c:v>15436.456179841687</c:v>
                </c:pt>
                <c:pt idx="72">
                  <c:v>14379.898925117963</c:v>
                </c:pt>
                <c:pt idx="73">
                  <c:v>13287.36764061134</c:v>
                </c:pt>
                <c:pt idx="74">
                  <c:v>12158.86232632182</c:v>
                </c:pt>
                <c:pt idx="75">
                  <c:v>10994.382982249399</c:v>
                </c:pt>
                <c:pt idx="76">
                  <c:v>9793.929608394083</c:v>
                </c:pt>
                <c:pt idx="77">
                  <c:v>8557.502204755867</c:v>
                </c:pt>
                <c:pt idx="78">
                  <c:v>7285.100771334753</c:v>
                </c:pt>
                <c:pt idx="79">
                  <c:v>5976.725308130739</c:v>
                </c:pt>
                <c:pt idx="80">
                  <c:v>4632.375815143828</c:v>
                </c:pt>
                <c:pt idx="81">
                  <c:v>3252.052292374018</c:v>
                </c:pt>
                <c:pt idx="82">
                  <c:v>1835.75473982131</c:v>
                </c:pt>
                <c:pt idx="83">
                  <c:v>383.48315748570394</c:v>
                </c:pt>
                <c:pt idx="84">
                  <c:v>0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hiLowLines>
          <c:spPr>
            <a:ln w="3175">
              <a:solidFill>
                <a:srgbClr val="FF0000"/>
              </a:solidFill>
            </a:ln>
          </c:spPr>
        </c:hiLowLines>
        <c:axId val="39950235"/>
        <c:axId val="24007796"/>
      </c:lineChart>
      <c:catAx>
        <c:axId val="399502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Ascissa x ( 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auto val="1"/>
        <c:lblOffset val="100"/>
        <c:tickLblSkip val="10"/>
        <c:noMultiLvlLbl val="0"/>
      </c:catAx>
      <c:valAx>
        <c:axId val="2400779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Momenti flettenti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At val="1"/>
        <c:crossBetween val="midCat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'Sezione doppio T modificato'!$P$69:$P$70</c:f>
              <c:strCache>
                <c:ptCount val="1"/>
                <c:pt idx="0">
                  <c:v>d0 mm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'Sezione doppio T modificato'!$A$71:$A$155</c:f>
              <c:numCache>
                <c:ptCount val="8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20.565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41.13</c:v>
                </c:pt>
              </c:numCache>
            </c:numRef>
          </c:cat>
          <c:val>
            <c:numRef>
              <c:f>'Sezione doppio T modificato'!$P$71:$P$155</c:f>
              <c:numCache>
                <c:ptCount val="85"/>
                <c:pt idx="0">
                  <c:v>768.3638518207348</c:v>
                </c:pt>
                <c:pt idx="1">
                  <c:v>796.2836077391788</c:v>
                </c:pt>
                <c:pt idx="2">
                  <c:v>823.5161927022095</c:v>
                </c:pt>
                <c:pt idx="3">
                  <c:v>850.061606709827</c:v>
                </c:pt>
                <c:pt idx="4">
                  <c:v>875.9198497620309</c:v>
                </c:pt>
                <c:pt idx="5">
                  <c:v>901.0909218588217</c:v>
                </c:pt>
                <c:pt idx="6">
                  <c:v>925.5748230001991</c:v>
                </c:pt>
                <c:pt idx="7">
                  <c:v>949.371553186163</c:v>
                </c:pt>
                <c:pt idx="8">
                  <c:v>972.4811124167137</c:v>
                </c:pt>
                <c:pt idx="9">
                  <c:v>994.903500691851</c:v>
                </c:pt>
                <c:pt idx="10">
                  <c:v>1016.6387180115751</c:v>
                </c:pt>
                <c:pt idx="11">
                  <c:v>1037.6867643758856</c:v>
                </c:pt>
                <c:pt idx="12">
                  <c:v>1058.0476397847829</c:v>
                </c:pt>
                <c:pt idx="13">
                  <c:v>1077.721344238267</c:v>
                </c:pt>
                <c:pt idx="14">
                  <c:v>1096.7078777363377</c:v>
                </c:pt>
                <c:pt idx="15">
                  <c:v>1115.007240278995</c:v>
                </c:pt>
                <c:pt idx="16">
                  <c:v>1132.6194318662388</c:v>
                </c:pt>
                <c:pt idx="17">
                  <c:v>1149.5444524980694</c:v>
                </c:pt>
                <c:pt idx="18">
                  <c:v>1165.7823021744866</c:v>
                </c:pt>
                <c:pt idx="19">
                  <c:v>1181.3329808954904</c:v>
                </c:pt>
                <c:pt idx="20">
                  <c:v>1196.1964886610813</c:v>
                </c:pt>
                <c:pt idx="21">
                  <c:v>1210.3728254712582</c:v>
                </c:pt>
                <c:pt idx="22">
                  <c:v>1223.8619913260222</c:v>
                </c:pt>
                <c:pt idx="23">
                  <c:v>1236.6639862253728</c:v>
                </c:pt>
                <c:pt idx="24">
                  <c:v>1248.77881016931</c:v>
                </c:pt>
                <c:pt idx="25">
                  <c:v>1260.2064631578337</c:v>
                </c:pt>
                <c:pt idx="26">
                  <c:v>1270.9469451909445</c:v>
                </c:pt>
                <c:pt idx="27">
                  <c:v>1281.0002562686416</c:v>
                </c:pt>
                <c:pt idx="28">
                  <c:v>1290.3663963909253</c:v>
                </c:pt>
                <c:pt idx="29">
                  <c:v>1299.0453655577958</c:v>
                </c:pt>
                <c:pt idx="30">
                  <c:v>1307.037163769253</c:v>
                </c:pt>
                <c:pt idx="31">
                  <c:v>1314.341791025297</c:v>
                </c:pt>
                <c:pt idx="32">
                  <c:v>1320.9592473259274</c:v>
                </c:pt>
                <c:pt idx="33">
                  <c:v>1326.8895326711445</c:v>
                </c:pt>
                <c:pt idx="34">
                  <c:v>1332.1326470609483</c:v>
                </c:pt>
                <c:pt idx="35">
                  <c:v>1336.6885904953388</c:v>
                </c:pt>
                <c:pt idx="36">
                  <c:v>1340.5573629743158</c:v>
                </c:pt>
                <c:pt idx="37">
                  <c:v>1343.7389644978798</c:v>
                </c:pt>
                <c:pt idx="38">
                  <c:v>1346.2333950660302</c:v>
                </c:pt>
                <c:pt idx="39">
                  <c:v>1348.0406546787672</c:v>
                </c:pt>
                <c:pt idx="40">
                  <c:v>1349.160743336091</c:v>
                </c:pt>
                <c:pt idx="41">
                  <c:v>1349.5936610380013</c:v>
                </c:pt>
                <c:pt idx="42">
                  <c:v>1349.5994676325745</c:v>
                </c:pt>
                <c:pt idx="43">
                  <c:v>1349.3394077844982</c:v>
                </c:pt>
                <c:pt idx="44">
                  <c:v>1348.3979835755822</c:v>
                </c:pt>
                <c:pt idx="45">
                  <c:v>1346.7693884112523</c:v>
                </c:pt>
                <c:pt idx="46">
                  <c:v>1344.4536222915094</c:v>
                </c:pt>
                <c:pt idx="47">
                  <c:v>1341.4506852163531</c:v>
                </c:pt>
                <c:pt idx="48">
                  <c:v>1337.7605771857836</c:v>
                </c:pt>
                <c:pt idx="49">
                  <c:v>1333.3832981998007</c:v>
                </c:pt>
                <c:pt idx="50">
                  <c:v>1328.3188482584042</c:v>
                </c:pt>
                <c:pt idx="51">
                  <c:v>1322.5672273615946</c:v>
                </c:pt>
                <c:pt idx="52">
                  <c:v>1316.1284355093717</c:v>
                </c:pt>
                <c:pt idx="53">
                  <c:v>1309.0024727017353</c:v>
                </c:pt>
                <c:pt idx="54">
                  <c:v>1301.1893389386855</c:v>
                </c:pt>
                <c:pt idx="55">
                  <c:v>1292.6890342202225</c:v>
                </c:pt>
                <c:pt idx="56">
                  <c:v>1283.5015585463461</c:v>
                </c:pt>
                <c:pt idx="57">
                  <c:v>1273.6269119170565</c:v>
                </c:pt>
                <c:pt idx="58">
                  <c:v>1263.0650943323535</c:v>
                </c:pt>
                <c:pt idx="59">
                  <c:v>1251.816105792237</c:v>
                </c:pt>
                <c:pt idx="60">
                  <c:v>1239.8799462967072</c:v>
                </c:pt>
                <c:pt idx="61">
                  <c:v>1227.2566158457641</c:v>
                </c:pt>
                <c:pt idx="62">
                  <c:v>1213.946114439408</c:v>
                </c:pt>
                <c:pt idx="63">
                  <c:v>1199.948442077638</c:v>
                </c:pt>
                <c:pt idx="64">
                  <c:v>1185.263598760455</c:v>
                </c:pt>
                <c:pt idx="65">
                  <c:v>1169.8915844878584</c:v>
                </c:pt>
                <c:pt idx="66">
                  <c:v>1153.8323992598487</c:v>
                </c:pt>
                <c:pt idx="67">
                  <c:v>1137.0860430764255</c:v>
                </c:pt>
                <c:pt idx="68">
                  <c:v>1119.652515937589</c:v>
                </c:pt>
                <c:pt idx="69">
                  <c:v>1101.5318178433392</c:v>
                </c:pt>
                <c:pt idx="70">
                  <c:v>1082.723948793676</c:v>
                </c:pt>
                <c:pt idx="71">
                  <c:v>1063.2289087885997</c:v>
                </c:pt>
                <c:pt idx="72">
                  <c:v>1043.0466978281097</c:v>
                </c:pt>
                <c:pt idx="73">
                  <c:v>1022.1773159122067</c:v>
                </c:pt>
                <c:pt idx="74">
                  <c:v>1000.6207630408901</c:v>
                </c:pt>
                <c:pt idx="75">
                  <c:v>978.3770392141603</c:v>
                </c:pt>
                <c:pt idx="76">
                  <c:v>955.446144432017</c:v>
                </c:pt>
                <c:pt idx="77">
                  <c:v>931.8280786944606</c:v>
                </c:pt>
                <c:pt idx="78">
                  <c:v>907.5228420014907</c:v>
                </c:pt>
                <c:pt idx="79">
                  <c:v>882.5304343531075</c:v>
                </c:pt>
                <c:pt idx="80">
                  <c:v>856.8508557493109</c:v>
                </c:pt>
                <c:pt idx="81">
                  <c:v>830.484106190101</c:v>
                </c:pt>
                <c:pt idx="82">
                  <c:v>803.4301856754778</c:v>
                </c:pt>
                <c:pt idx="83">
                  <c:v>775.6890942054412</c:v>
                </c:pt>
                <c:pt idx="84">
                  <c:v>768.3638518207348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'Sezione doppio T modificato'!$E$69:$E$70</c:f>
              <c:strCache>
                <c:ptCount val="1"/>
                <c:pt idx="0">
                  <c:v>d1 mm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'Sezione doppio T modificato'!$A$71:$A$155</c:f>
              <c:numCache>
                <c:ptCount val="8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20.565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41.13</c:v>
                </c:pt>
              </c:numCache>
            </c:numRef>
          </c:cat>
          <c:val>
            <c:numRef>
              <c:f>'Sezione doppio T modificato'!$Q$71:$Q$155</c:f>
              <c:numCache>
                <c:ptCount val="85"/>
                <c:pt idx="0">
                  <c:v>-945.269045029887</c:v>
                </c:pt>
                <c:pt idx="1">
                  <c:v>-880.0280894130807</c:v>
                </c:pt>
                <c:pt idx="2">
                  <c:v>-816.392867382708</c:v>
                </c:pt>
                <c:pt idx="3">
                  <c:v>-754.3633789387692</c:v>
                </c:pt>
                <c:pt idx="4">
                  <c:v>-693.9396240812645</c:v>
                </c:pt>
                <c:pt idx="5">
                  <c:v>-635.1216028101932</c:v>
                </c:pt>
                <c:pt idx="6">
                  <c:v>-577.9093151255562</c:v>
                </c:pt>
                <c:pt idx="7">
                  <c:v>-522.3027610273526</c:v>
                </c:pt>
                <c:pt idx="8">
                  <c:v>-468.30194051558294</c:v>
                </c:pt>
                <c:pt idx="9">
                  <c:v>-415.9068535902471</c:v>
                </c:pt>
                <c:pt idx="10">
                  <c:v>-365.1175002513452</c:v>
                </c:pt>
                <c:pt idx="11">
                  <c:v>-315.9338804988771</c:v>
                </c:pt>
                <c:pt idx="12">
                  <c:v>-268.3559943328429</c:v>
                </c:pt>
                <c:pt idx="13">
                  <c:v>-222.38384175324234</c:v>
                </c:pt>
                <c:pt idx="14">
                  <c:v>-178.01742276007576</c:v>
                </c:pt>
                <c:pt idx="15">
                  <c:v>-135.25673735334283</c:v>
                </c:pt>
                <c:pt idx="16">
                  <c:v>-94.10178553304388</c:v>
                </c:pt>
                <c:pt idx="17">
                  <c:v>-54.55256729917869</c:v>
                </c:pt>
                <c:pt idx="18">
                  <c:v>-16.609082651747258</c:v>
                </c:pt>
                <c:pt idx="19">
                  <c:v>19.72866840925019</c:v>
                </c:pt>
                <c:pt idx="20">
                  <c:v>54.46068588381388</c:v>
                </c:pt>
                <c:pt idx="21">
                  <c:v>87.5869697719437</c:v>
                </c:pt>
                <c:pt idx="22">
                  <c:v>119.10752007363988</c:v>
                </c:pt>
                <c:pt idx="23">
                  <c:v>149.02233678890195</c:v>
                </c:pt>
                <c:pt idx="24">
                  <c:v>177.33141991773016</c:v>
                </c:pt>
                <c:pt idx="25">
                  <c:v>204.03476946012472</c:v>
                </c:pt>
                <c:pt idx="26">
                  <c:v>229.13238541608564</c:v>
                </c:pt>
                <c:pt idx="27">
                  <c:v>252.62426778561246</c:v>
                </c:pt>
                <c:pt idx="28">
                  <c:v>274.5104165687054</c:v>
                </c:pt>
                <c:pt idx="29">
                  <c:v>294.79083176536494</c:v>
                </c:pt>
                <c:pt idx="30">
                  <c:v>313.46551337559015</c:v>
                </c:pt>
                <c:pt idx="31">
                  <c:v>330.53446139938194</c:v>
                </c:pt>
                <c:pt idx="32">
                  <c:v>345.9976758367394</c:v>
                </c:pt>
                <c:pt idx="33">
                  <c:v>359.85515668766345</c:v>
                </c:pt>
                <c:pt idx="34">
                  <c:v>372.10690395215363</c:v>
                </c:pt>
                <c:pt idx="35">
                  <c:v>382.75291763020994</c:v>
                </c:pt>
                <c:pt idx="36">
                  <c:v>391.79319772183237</c:v>
                </c:pt>
                <c:pt idx="37">
                  <c:v>399.22774422702093</c:v>
                </c:pt>
                <c:pt idx="38">
                  <c:v>405.05655714577586</c:v>
                </c:pt>
                <c:pt idx="39">
                  <c:v>409.2796364780967</c:v>
                </c:pt>
                <c:pt idx="40">
                  <c:v>411.89698222398385</c:v>
                </c:pt>
                <c:pt idx="41">
                  <c:v>412.90859438343716</c:v>
                </c:pt>
                <c:pt idx="42">
                  <c:v>412.92216283224263</c:v>
                </c:pt>
                <c:pt idx="43">
                  <c:v>412.3144729564568</c:v>
                </c:pt>
                <c:pt idx="44">
                  <c:v>410.1146179430424</c:v>
                </c:pt>
                <c:pt idx="45">
                  <c:v>406.3090293431941</c:v>
                </c:pt>
                <c:pt idx="46">
                  <c:v>400.89770715691213</c:v>
                </c:pt>
                <c:pt idx="47">
                  <c:v>393.88065138419654</c:v>
                </c:pt>
                <c:pt idx="48">
                  <c:v>385.2578620250466</c:v>
                </c:pt>
                <c:pt idx="49">
                  <c:v>375.02933907946306</c:v>
                </c:pt>
                <c:pt idx="50">
                  <c:v>363.1950825474461</c:v>
                </c:pt>
                <c:pt idx="51">
                  <c:v>349.7550924289948</c:v>
                </c:pt>
                <c:pt idx="52">
                  <c:v>334.7093687241098</c:v>
                </c:pt>
                <c:pt idx="53">
                  <c:v>318.057911432791</c:v>
                </c:pt>
                <c:pt idx="54">
                  <c:v>299.80072055503854</c:v>
                </c:pt>
                <c:pt idx="55">
                  <c:v>279.937796090852</c:v>
                </c:pt>
                <c:pt idx="56">
                  <c:v>258.46913804023177</c:v>
                </c:pt>
                <c:pt idx="57">
                  <c:v>235.3947464031777</c:v>
                </c:pt>
                <c:pt idx="58">
                  <c:v>210.71462117968974</c:v>
                </c:pt>
                <c:pt idx="59">
                  <c:v>184.42876236976792</c:v>
                </c:pt>
                <c:pt idx="60">
                  <c:v>156.53716997341223</c:v>
                </c:pt>
                <c:pt idx="61">
                  <c:v>127.0398439906229</c:v>
                </c:pt>
                <c:pt idx="62">
                  <c:v>95.9367844213997</c:v>
                </c:pt>
                <c:pt idx="63">
                  <c:v>63.22799126574273</c:v>
                </c:pt>
                <c:pt idx="64">
                  <c:v>28.913464523651783</c:v>
                </c:pt>
                <c:pt idx="65">
                  <c:v>-7.006795804872695</c:v>
                </c:pt>
                <c:pt idx="66">
                  <c:v>-44.532789719831385</c:v>
                </c:pt>
                <c:pt idx="67">
                  <c:v>-83.66451722122372</c:v>
                </c:pt>
                <c:pt idx="68">
                  <c:v>-124.40197830905004</c:v>
                </c:pt>
                <c:pt idx="69">
                  <c:v>-166.74517298331</c:v>
                </c:pt>
                <c:pt idx="70">
                  <c:v>-210.69410124400383</c:v>
                </c:pt>
                <c:pt idx="71">
                  <c:v>-256.24876309113154</c:v>
                </c:pt>
                <c:pt idx="72">
                  <c:v>-303.409158524693</c:v>
                </c:pt>
                <c:pt idx="73">
                  <c:v>-352.17528754468833</c:v>
                </c:pt>
                <c:pt idx="74">
                  <c:v>-402.54715015111753</c:v>
                </c:pt>
                <c:pt idx="75">
                  <c:v>-454.5247463439806</c:v>
                </c:pt>
                <c:pt idx="76">
                  <c:v>-508.1080761232773</c:v>
                </c:pt>
                <c:pt idx="77">
                  <c:v>-563.2971394890079</c:v>
                </c:pt>
                <c:pt idx="78">
                  <c:v>-620.0919364411724</c:v>
                </c:pt>
                <c:pt idx="79">
                  <c:v>-678.4924669797707</c:v>
                </c:pt>
                <c:pt idx="80">
                  <c:v>-738.4987311048027</c:v>
                </c:pt>
                <c:pt idx="81">
                  <c:v>-800.1107288162688</c:v>
                </c:pt>
                <c:pt idx="82">
                  <c:v>-863.3284601141685</c:v>
                </c:pt>
                <c:pt idx="83">
                  <c:v>-928.1519249985021</c:v>
                </c:pt>
                <c:pt idx="84">
                  <c:v>-945.269045029887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'Sezione doppio T modificato'!$G$69:$G$70</c:f>
              <c:strCache>
                <c:ptCount val="1"/>
                <c:pt idx="0">
                  <c:v>e(x) 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'Sezione doppio T modificato'!$R$71:$R$155</c:f>
              <c:numCache>
                <c:ptCount val="85"/>
                <c:pt idx="0">
                  <c:v>0</c:v>
                </c:pt>
                <c:pt idx="1">
                  <c:v>61.75450315826555</c:v>
                </c:pt>
                <c:pt idx="2">
                  <c:v>121.9890825371005</c:v>
                </c:pt>
                <c:pt idx="3">
                  <c:v>180.70373813650482</c:v>
                </c:pt>
                <c:pt idx="4">
                  <c:v>237.89846995647855</c:v>
                </c:pt>
                <c:pt idx="5">
                  <c:v>293.5732779970217</c:v>
                </c:pt>
                <c:pt idx="6">
                  <c:v>347.7281622581342</c:v>
                </c:pt>
                <c:pt idx="7">
                  <c:v>400.3631227398161</c:v>
                </c:pt>
                <c:pt idx="8">
                  <c:v>451.47815944206747</c:v>
                </c:pt>
                <c:pt idx="9">
                  <c:v>501.073272364888</c:v>
                </c:pt>
                <c:pt idx="10">
                  <c:v>549.1484615082782</c:v>
                </c:pt>
                <c:pt idx="11">
                  <c:v>595.7037268722377</c:v>
                </c:pt>
                <c:pt idx="12">
                  <c:v>640.7390684567666</c:v>
                </c:pt>
                <c:pt idx="13">
                  <c:v>684.2544862618647</c:v>
                </c:pt>
                <c:pt idx="14">
                  <c:v>726.2499802875326</c:v>
                </c:pt>
                <c:pt idx="15">
                  <c:v>766.7255505337696</c:v>
                </c:pt>
                <c:pt idx="16">
                  <c:v>805.6811970005759</c:v>
                </c:pt>
                <c:pt idx="17">
                  <c:v>843.1169196879518</c:v>
                </c:pt>
                <c:pt idx="18">
                  <c:v>879.032718595897</c:v>
                </c:pt>
                <c:pt idx="19">
                  <c:v>913.4285937244117</c:v>
                </c:pt>
                <c:pt idx="20">
                  <c:v>946.3045450734958</c:v>
                </c:pt>
                <c:pt idx="21">
                  <c:v>977.6605726431491</c:v>
                </c:pt>
                <c:pt idx="22">
                  <c:v>1007.496676433372</c:v>
                </c:pt>
                <c:pt idx="23">
                  <c:v>1035.8128564441643</c:v>
                </c:pt>
                <c:pt idx="24">
                  <c:v>1062.6091126755257</c:v>
                </c:pt>
                <c:pt idx="25">
                  <c:v>1087.8854451274567</c:v>
                </c:pt>
                <c:pt idx="26">
                  <c:v>1111.641853799957</c:v>
                </c:pt>
                <c:pt idx="27">
                  <c:v>1133.878338693027</c:v>
                </c:pt>
                <c:pt idx="28">
                  <c:v>1154.5948998066663</c:v>
                </c:pt>
                <c:pt idx="29">
                  <c:v>1173.7915371408749</c:v>
                </c:pt>
                <c:pt idx="30">
                  <c:v>1191.4682506956528</c:v>
                </c:pt>
                <c:pt idx="31">
                  <c:v>1207.6250404710001</c:v>
                </c:pt>
                <c:pt idx="32">
                  <c:v>1222.2619064669166</c:v>
                </c:pt>
                <c:pt idx="33">
                  <c:v>1235.378848683403</c:v>
                </c:pt>
                <c:pt idx="34">
                  <c:v>1246.9758671204584</c:v>
                </c:pt>
                <c:pt idx="35">
                  <c:v>1257.0529617780833</c:v>
                </c:pt>
                <c:pt idx="36">
                  <c:v>1265.6101326562773</c:v>
                </c:pt>
                <c:pt idx="37">
                  <c:v>1272.6473797550414</c:v>
                </c:pt>
                <c:pt idx="38">
                  <c:v>1278.1647030743745</c:v>
                </c:pt>
                <c:pt idx="39">
                  <c:v>1282.162102614277</c:v>
                </c:pt>
                <c:pt idx="40">
                  <c:v>1284.6395783747487</c:v>
                </c:pt>
                <c:pt idx="41">
                  <c:v>1285.5971303557901</c:v>
                </c:pt>
                <c:pt idx="42">
                  <c:v>1285.6099737117263</c:v>
                </c:pt>
                <c:pt idx="43">
                  <c:v>1285.034758557401</c:v>
                </c:pt>
                <c:pt idx="44">
                  <c:v>1282.952462979581</c:v>
                </c:pt>
                <c:pt idx="45">
                  <c:v>1279.3502436223303</c:v>
                </c:pt>
                <c:pt idx="46">
                  <c:v>1274.2281004856493</c:v>
                </c:pt>
                <c:pt idx="47">
                  <c:v>1267.5860335695374</c:v>
                </c:pt>
                <c:pt idx="48">
                  <c:v>1259.4240428739952</c:v>
                </c:pt>
                <c:pt idx="49">
                  <c:v>1249.742128399022</c:v>
                </c:pt>
                <c:pt idx="50">
                  <c:v>1238.5402901446184</c:v>
                </c:pt>
                <c:pt idx="51">
                  <c:v>1225.8185281107844</c:v>
                </c:pt>
                <c:pt idx="52">
                  <c:v>1211.5768422975195</c:v>
                </c:pt>
                <c:pt idx="53">
                  <c:v>1195.8152327048242</c:v>
                </c:pt>
                <c:pt idx="54">
                  <c:v>1178.533699332698</c:v>
                </c:pt>
                <c:pt idx="55">
                  <c:v>1159.7322421811416</c:v>
                </c:pt>
                <c:pt idx="56">
                  <c:v>1139.4108612501543</c:v>
                </c:pt>
                <c:pt idx="57">
                  <c:v>1117.5695565397366</c:v>
                </c:pt>
                <c:pt idx="58">
                  <c:v>1094.2083280498878</c:v>
                </c:pt>
                <c:pt idx="59">
                  <c:v>1069.3271757806094</c:v>
                </c:pt>
                <c:pt idx="60">
                  <c:v>1042.9260997318993</c:v>
                </c:pt>
                <c:pt idx="61">
                  <c:v>1015.005099903759</c:v>
                </c:pt>
                <c:pt idx="62">
                  <c:v>985.5641762961882</c:v>
                </c:pt>
                <c:pt idx="63">
                  <c:v>954.6033289091868</c:v>
                </c:pt>
                <c:pt idx="64">
                  <c:v>922.1225577427548</c:v>
                </c:pt>
                <c:pt idx="65">
                  <c:v>888.1218627968921</c:v>
                </c:pt>
                <c:pt idx="66">
                  <c:v>852.601244071599</c:v>
                </c:pt>
                <c:pt idx="67">
                  <c:v>815.5607015668749</c:v>
                </c:pt>
                <c:pt idx="68">
                  <c:v>777.0002352827206</c:v>
                </c:pt>
                <c:pt idx="69">
                  <c:v>736.9198452191353</c:v>
                </c:pt>
                <c:pt idx="70">
                  <c:v>695.3195313761199</c:v>
                </c:pt>
                <c:pt idx="71">
                  <c:v>652.1992937536733</c:v>
                </c:pt>
                <c:pt idx="72">
                  <c:v>607.5591323517966</c:v>
                </c:pt>
                <c:pt idx="73">
                  <c:v>561.3990471704889</c:v>
                </c:pt>
                <c:pt idx="74">
                  <c:v>513.7190382097506</c:v>
                </c:pt>
                <c:pt idx="75">
                  <c:v>464.5191054695821</c:v>
                </c:pt>
                <c:pt idx="76">
                  <c:v>413.7992489499825</c:v>
                </c:pt>
                <c:pt idx="77">
                  <c:v>361.55946865095285</c:v>
                </c:pt>
                <c:pt idx="78">
                  <c:v>307.79976457249205</c:v>
                </c:pt>
                <c:pt idx="79">
                  <c:v>252.5201367146012</c:v>
                </c:pt>
                <c:pt idx="80">
                  <c:v>195.72058507727914</c:v>
                </c:pt>
                <c:pt idx="81">
                  <c:v>137.40110966052706</c:v>
                </c:pt>
                <c:pt idx="82">
                  <c:v>77.56171046434382</c:v>
                </c:pt>
                <c:pt idx="83">
                  <c:v>16.20238748873053</c:v>
                </c:pt>
                <c:pt idx="8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9CC00"/>
              </a:solidFill>
            </a:ln>
          </c:spPr>
        </c:hiLowLines>
        <c:axId val="14743573"/>
        <c:axId val="65583294"/>
      </c:lineChart>
      <c:catAx>
        <c:axId val="147435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Ascissa x ( m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tickLblSkip val="10"/>
        <c:noMultiLvlLbl val="0"/>
      </c:catAx>
      <c:valAx>
        <c:axId val="6558329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Fuso di Guyon e cavo risultante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At val="1"/>
        <c:crossBetween val="between"/>
        <c:dispUnits/>
        <c:majorUnit val="200"/>
        <c:minorUnit val="100"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65"/>
          <c:w val="0.978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'Sezione doppio T modificato'!$P$69:$P$70</c:f>
              <c:strCache>
                <c:ptCount val="1"/>
                <c:pt idx="0">
                  <c:v>d0 mm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'Sezione doppio T modificato'!$A$71:$A$155</c:f>
              <c:numCache>
                <c:ptCount val="8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20.565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41.13</c:v>
                </c:pt>
              </c:numCache>
            </c:numRef>
          </c:cat>
          <c:val>
            <c:numRef>
              <c:f>'Sezione doppio T modificato'!$P$71:$P$155</c:f>
              <c:numCache>
                <c:ptCount val="85"/>
                <c:pt idx="0">
                  <c:v>768.3638518207348</c:v>
                </c:pt>
                <c:pt idx="1">
                  <c:v>796.2836077391788</c:v>
                </c:pt>
                <c:pt idx="2">
                  <c:v>823.5161927022095</c:v>
                </c:pt>
                <c:pt idx="3">
                  <c:v>850.061606709827</c:v>
                </c:pt>
                <c:pt idx="4">
                  <c:v>875.9198497620309</c:v>
                </c:pt>
                <c:pt idx="5">
                  <c:v>901.0909218588217</c:v>
                </c:pt>
                <c:pt idx="6">
                  <c:v>925.5748230001991</c:v>
                </c:pt>
                <c:pt idx="7">
                  <c:v>949.371553186163</c:v>
                </c:pt>
                <c:pt idx="8">
                  <c:v>972.4811124167137</c:v>
                </c:pt>
                <c:pt idx="9">
                  <c:v>994.903500691851</c:v>
                </c:pt>
                <c:pt idx="10">
                  <c:v>1016.6387180115751</c:v>
                </c:pt>
                <c:pt idx="11">
                  <c:v>1037.6867643758856</c:v>
                </c:pt>
                <c:pt idx="12">
                  <c:v>1058.0476397847829</c:v>
                </c:pt>
                <c:pt idx="13">
                  <c:v>1077.721344238267</c:v>
                </c:pt>
                <c:pt idx="14">
                  <c:v>1096.7078777363377</c:v>
                </c:pt>
                <c:pt idx="15">
                  <c:v>1115.007240278995</c:v>
                </c:pt>
                <c:pt idx="16">
                  <c:v>1132.6194318662388</c:v>
                </c:pt>
                <c:pt idx="17">
                  <c:v>1149.5444524980694</c:v>
                </c:pt>
                <c:pt idx="18">
                  <c:v>1165.7823021744866</c:v>
                </c:pt>
                <c:pt idx="19">
                  <c:v>1181.3329808954904</c:v>
                </c:pt>
                <c:pt idx="20">
                  <c:v>1196.1964886610813</c:v>
                </c:pt>
                <c:pt idx="21">
                  <c:v>1210.3728254712582</c:v>
                </c:pt>
                <c:pt idx="22">
                  <c:v>1223.8619913260222</c:v>
                </c:pt>
                <c:pt idx="23">
                  <c:v>1236.6639862253728</c:v>
                </c:pt>
                <c:pt idx="24">
                  <c:v>1248.77881016931</c:v>
                </c:pt>
                <c:pt idx="25">
                  <c:v>1260.2064631578337</c:v>
                </c:pt>
                <c:pt idx="26">
                  <c:v>1270.9469451909445</c:v>
                </c:pt>
                <c:pt idx="27">
                  <c:v>1281.0002562686416</c:v>
                </c:pt>
                <c:pt idx="28">
                  <c:v>1290.3663963909253</c:v>
                </c:pt>
                <c:pt idx="29">
                  <c:v>1299.0453655577958</c:v>
                </c:pt>
                <c:pt idx="30">
                  <c:v>1307.037163769253</c:v>
                </c:pt>
                <c:pt idx="31">
                  <c:v>1314.341791025297</c:v>
                </c:pt>
                <c:pt idx="32">
                  <c:v>1320.9592473259274</c:v>
                </c:pt>
                <c:pt idx="33">
                  <c:v>1326.8895326711445</c:v>
                </c:pt>
                <c:pt idx="34">
                  <c:v>1332.1326470609483</c:v>
                </c:pt>
                <c:pt idx="35">
                  <c:v>1336.6885904953388</c:v>
                </c:pt>
                <c:pt idx="36">
                  <c:v>1340.5573629743158</c:v>
                </c:pt>
                <c:pt idx="37">
                  <c:v>1343.7389644978798</c:v>
                </c:pt>
                <c:pt idx="38">
                  <c:v>1346.2333950660302</c:v>
                </c:pt>
                <c:pt idx="39">
                  <c:v>1348.0406546787672</c:v>
                </c:pt>
                <c:pt idx="40">
                  <c:v>1349.160743336091</c:v>
                </c:pt>
                <c:pt idx="41">
                  <c:v>1349.5936610380013</c:v>
                </c:pt>
                <c:pt idx="42">
                  <c:v>1349.5994676325745</c:v>
                </c:pt>
                <c:pt idx="43">
                  <c:v>1349.3394077844982</c:v>
                </c:pt>
                <c:pt idx="44">
                  <c:v>1348.3979835755822</c:v>
                </c:pt>
                <c:pt idx="45">
                  <c:v>1346.7693884112523</c:v>
                </c:pt>
                <c:pt idx="46">
                  <c:v>1344.4536222915094</c:v>
                </c:pt>
                <c:pt idx="47">
                  <c:v>1341.4506852163531</c:v>
                </c:pt>
                <c:pt idx="48">
                  <c:v>1337.7605771857836</c:v>
                </c:pt>
                <c:pt idx="49">
                  <c:v>1333.3832981998007</c:v>
                </c:pt>
                <c:pt idx="50">
                  <c:v>1328.3188482584042</c:v>
                </c:pt>
                <c:pt idx="51">
                  <c:v>1322.5672273615946</c:v>
                </c:pt>
                <c:pt idx="52">
                  <c:v>1316.1284355093717</c:v>
                </c:pt>
                <c:pt idx="53">
                  <c:v>1309.0024727017353</c:v>
                </c:pt>
                <c:pt idx="54">
                  <c:v>1301.1893389386855</c:v>
                </c:pt>
                <c:pt idx="55">
                  <c:v>1292.6890342202225</c:v>
                </c:pt>
                <c:pt idx="56">
                  <c:v>1283.5015585463461</c:v>
                </c:pt>
                <c:pt idx="57">
                  <c:v>1273.6269119170565</c:v>
                </c:pt>
                <c:pt idx="58">
                  <c:v>1263.0650943323535</c:v>
                </c:pt>
                <c:pt idx="59">
                  <c:v>1251.816105792237</c:v>
                </c:pt>
                <c:pt idx="60">
                  <c:v>1239.8799462967072</c:v>
                </c:pt>
                <c:pt idx="61">
                  <c:v>1227.2566158457641</c:v>
                </c:pt>
                <c:pt idx="62">
                  <c:v>1213.946114439408</c:v>
                </c:pt>
                <c:pt idx="63">
                  <c:v>1199.948442077638</c:v>
                </c:pt>
                <c:pt idx="64">
                  <c:v>1185.263598760455</c:v>
                </c:pt>
                <c:pt idx="65">
                  <c:v>1169.8915844878584</c:v>
                </c:pt>
                <c:pt idx="66">
                  <c:v>1153.8323992598487</c:v>
                </c:pt>
                <c:pt idx="67">
                  <c:v>1137.0860430764255</c:v>
                </c:pt>
                <c:pt idx="68">
                  <c:v>1119.652515937589</c:v>
                </c:pt>
                <c:pt idx="69">
                  <c:v>1101.5318178433392</c:v>
                </c:pt>
                <c:pt idx="70">
                  <c:v>1082.723948793676</c:v>
                </c:pt>
                <c:pt idx="71">
                  <c:v>1063.2289087885997</c:v>
                </c:pt>
                <c:pt idx="72">
                  <c:v>1043.0466978281097</c:v>
                </c:pt>
                <c:pt idx="73">
                  <c:v>1022.1773159122067</c:v>
                </c:pt>
                <c:pt idx="74">
                  <c:v>1000.6207630408901</c:v>
                </c:pt>
                <c:pt idx="75">
                  <c:v>978.3770392141603</c:v>
                </c:pt>
                <c:pt idx="76">
                  <c:v>955.446144432017</c:v>
                </c:pt>
                <c:pt idx="77">
                  <c:v>931.8280786944606</c:v>
                </c:pt>
                <c:pt idx="78">
                  <c:v>907.5228420014907</c:v>
                </c:pt>
                <c:pt idx="79">
                  <c:v>882.5304343531075</c:v>
                </c:pt>
                <c:pt idx="80">
                  <c:v>856.8508557493109</c:v>
                </c:pt>
                <c:pt idx="81">
                  <c:v>830.484106190101</c:v>
                </c:pt>
                <c:pt idx="82">
                  <c:v>803.4301856754778</c:v>
                </c:pt>
                <c:pt idx="83">
                  <c:v>775.6890942054412</c:v>
                </c:pt>
                <c:pt idx="84">
                  <c:v>768.3638518207348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'Sezione doppio T modificato'!$E$69:$E$70</c:f>
              <c:strCache>
                <c:ptCount val="1"/>
                <c:pt idx="0">
                  <c:v>d1 mm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'Sezione doppio T modificato'!$A$71:$A$155</c:f>
              <c:numCache>
                <c:ptCount val="8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20.565</c:v>
                </c:pt>
                <c:pt idx="43">
                  <c:v>21</c:v>
                </c:pt>
                <c:pt idx="44">
                  <c:v>21.5</c:v>
                </c:pt>
                <c:pt idx="45">
                  <c:v>22</c:v>
                </c:pt>
                <c:pt idx="46">
                  <c:v>22.5</c:v>
                </c:pt>
                <c:pt idx="47">
                  <c:v>23</c:v>
                </c:pt>
                <c:pt idx="48">
                  <c:v>23.5</c:v>
                </c:pt>
                <c:pt idx="49">
                  <c:v>24</c:v>
                </c:pt>
                <c:pt idx="50">
                  <c:v>24.5</c:v>
                </c:pt>
                <c:pt idx="51">
                  <c:v>25</c:v>
                </c:pt>
                <c:pt idx="52">
                  <c:v>25.5</c:v>
                </c:pt>
                <c:pt idx="53">
                  <c:v>26</c:v>
                </c:pt>
                <c:pt idx="54">
                  <c:v>26.5</c:v>
                </c:pt>
                <c:pt idx="55">
                  <c:v>27</c:v>
                </c:pt>
                <c:pt idx="56">
                  <c:v>27.5</c:v>
                </c:pt>
                <c:pt idx="57">
                  <c:v>28</c:v>
                </c:pt>
                <c:pt idx="58">
                  <c:v>28.5</c:v>
                </c:pt>
                <c:pt idx="59">
                  <c:v>29</c:v>
                </c:pt>
                <c:pt idx="60">
                  <c:v>29.5</c:v>
                </c:pt>
                <c:pt idx="61">
                  <c:v>30</c:v>
                </c:pt>
                <c:pt idx="62">
                  <c:v>30.5</c:v>
                </c:pt>
                <c:pt idx="63">
                  <c:v>31</c:v>
                </c:pt>
                <c:pt idx="64">
                  <c:v>31.5</c:v>
                </c:pt>
                <c:pt idx="65">
                  <c:v>32</c:v>
                </c:pt>
                <c:pt idx="66">
                  <c:v>32.5</c:v>
                </c:pt>
                <c:pt idx="67">
                  <c:v>33</c:v>
                </c:pt>
                <c:pt idx="68">
                  <c:v>33.5</c:v>
                </c:pt>
                <c:pt idx="69">
                  <c:v>34</c:v>
                </c:pt>
                <c:pt idx="70">
                  <c:v>34.5</c:v>
                </c:pt>
                <c:pt idx="71">
                  <c:v>35</c:v>
                </c:pt>
                <c:pt idx="72">
                  <c:v>35.5</c:v>
                </c:pt>
                <c:pt idx="73">
                  <c:v>36</c:v>
                </c:pt>
                <c:pt idx="74">
                  <c:v>36.5</c:v>
                </c:pt>
                <c:pt idx="75">
                  <c:v>37</c:v>
                </c:pt>
                <c:pt idx="76">
                  <c:v>37.5</c:v>
                </c:pt>
                <c:pt idx="77">
                  <c:v>38</c:v>
                </c:pt>
                <c:pt idx="78">
                  <c:v>38.5</c:v>
                </c:pt>
                <c:pt idx="79">
                  <c:v>39</c:v>
                </c:pt>
                <c:pt idx="80">
                  <c:v>39.5</c:v>
                </c:pt>
                <c:pt idx="81">
                  <c:v>40</c:v>
                </c:pt>
                <c:pt idx="82">
                  <c:v>40.5</c:v>
                </c:pt>
                <c:pt idx="83">
                  <c:v>41</c:v>
                </c:pt>
                <c:pt idx="84">
                  <c:v>41.13</c:v>
                </c:pt>
              </c:numCache>
            </c:numRef>
          </c:cat>
          <c:val>
            <c:numRef>
              <c:f>'Sezione doppio T modificato'!$Q$71:$Q$155</c:f>
              <c:numCache>
                <c:ptCount val="85"/>
                <c:pt idx="0">
                  <c:v>-945.269045029887</c:v>
                </c:pt>
                <c:pt idx="1">
                  <c:v>-880.0280894130807</c:v>
                </c:pt>
                <c:pt idx="2">
                  <c:v>-816.392867382708</c:v>
                </c:pt>
                <c:pt idx="3">
                  <c:v>-754.3633789387692</c:v>
                </c:pt>
                <c:pt idx="4">
                  <c:v>-693.9396240812645</c:v>
                </c:pt>
                <c:pt idx="5">
                  <c:v>-635.1216028101932</c:v>
                </c:pt>
                <c:pt idx="6">
                  <c:v>-577.9093151255562</c:v>
                </c:pt>
                <c:pt idx="7">
                  <c:v>-522.3027610273526</c:v>
                </c:pt>
                <c:pt idx="8">
                  <c:v>-468.30194051558294</c:v>
                </c:pt>
                <c:pt idx="9">
                  <c:v>-415.9068535902471</c:v>
                </c:pt>
                <c:pt idx="10">
                  <c:v>-365.1175002513452</c:v>
                </c:pt>
                <c:pt idx="11">
                  <c:v>-315.9338804988771</c:v>
                </c:pt>
                <c:pt idx="12">
                  <c:v>-268.3559943328429</c:v>
                </c:pt>
                <c:pt idx="13">
                  <c:v>-222.38384175324234</c:v>
                </c:pt>
                <c:pt idx="14">
                  <c:v>-178.01742276007576</c:v>
                </c:pt>
                <c:pt idx="15">
                  <c:v>-135.25673735334283</c:v>
                </c:pt>
                <c:pt idx="16">
                  <c:v>-94.10178553304388</c:v>
                </c:pt>
                <c:pt idx="17">
                  <c:v>-54.55256729917869</c:v>
                </c:pt>
                <c:pt idx="18">
                  <c:v>-16.609082651747258</c:v>
                </c:pt>
                <c:pt idx="19">
                  <c:v>19.72866840925019</c:v>
                </c:pt>
                <c:pt idx="20">
                  <c:v>54.46068588381388</c:v>
                </c:pt>
                <c:pt idx="21">
                  <c:v>87.5869697719437</c:v>
                </c:pt>
                <c:pt idx="22">
                  <c:v>119.10752007363988</c:v>
                </c:pt>
                <c:pt idx="23">
                  <c:v>149.02233678890195</c:v>
                </c:pt>
                <c:pt idx="24">
                  <c:v>177.33141991773016</c:v>
                </c:pt>
                <c:pt idx="25">
                  <c:v>204.03476946012472</c:v>
                </c:pt>
                <c:pt idx="26">
                  <c:v>229.13238541608564</c:v>
                </c:pt>
                <c:pt idx="27">
                  <c:v>252.62426778561246</c:v>
                </c:pt>
                <c:pt idx="28">
                  <c:v>274.5104165687054</c:v>
                </c:pt>
                <c:pt idx="29">
                  <c:v>294.79083176536494</c:v>
                </c:pt>
                <c:pt idx="30">
                  <c:v>313.46551337559015</c:v>
                </c:pt>
                <c:pt idx="31">
                  <c:v>330.53446139938194</c:v>
                </c:pt>
                <c:pt idx="32">
                  <c:v>345.9976758367394</c:v>
                </c:pt>
                <c:pt idx="33">
                  <c:v>359.85515668766345</c:v>
                </c:pt>
                <c:pt idx="34">
                  <c:v>372.10690395215363</c:v>
                </c:pt>
                <c:pt idx="35">
                  <c:v>382.75291763020994</c:v>
                </c:pt>
                <c:pt idx="36">
                  <c:v>391.79319772183237</c:v>
                </c:pt>
                <c:pt idx="37">
                  <c:v>399.22774422702093</c:v>
                </c:pt>
                <c:pt idx="38">
                  <c:v>405.05655714577586</c:v>
                </c:pt>
                <c:pt idx="39">
                  <c:v>409.2796364780967</c:v>
                </c:pt>
                <c:pt idx="40">
                  <c:v>411.89698222398385</c:v>
                </c:pt>
                <c:pt idx="41">
                  <c:v>412.90859438343716</c:v>
                </c:pt>
                <c:pt idx="42">
                  <c:v>412.92216283224263</c:v>
                </c:pt>
                <c:pt idx="43">
                  <c:v>412.3144729564568</c:v>
                </c:pt>
                <c:pt idx="44">
                  <c:v>410.1146179430424</c:v>
                </c:pt>
                <c:pt idx="45">
                  <c:v>406.3090293431941</c:v>
                </c:pt>
                <c:pt idx="46">
                  <c:v>400.89770715691213</c:v>
                </c:pt>
                <c:pt idx="47">
                  <c:v>393.88065138419654</c:v>
                </c:pt>
                <c:pt idx="48">
                  <c:v>385.2578620250466</c:v>
                </c:pt>
                <c:pt idx="49">
                  <c:v>375.02933907946306</c:v>
                </c:pt>
                <c:pt idx="50">
                  <c:v>363.1950825474461</c:v>
                </c:pt>
                <c:pt idx="51">
                  <c:v>349.7550924289948</c:v>
                </c:pt>
                <c:pt idx="52">
                  <c:v>334.7093687241098</c:v>
                </c:pt>
                <c:pt idx="53">
                  <c:v>318.057911432791</c:v>
                </c:pt>
                <c:pt idx="54">
                  <c:v>299.80072055503854</c:v>
                </c:pt>
                <c:pt idx="55">
                  <c:v>279.937796090852</c:v>
                </c:pt>
                <c:pt idx="56">
                  <c:v>258.46913804023177</c:v>
                </c:pt>
                <c:pt idx="57">
                  <c:v>235.3947464031777</c:v>
                </c:pt>
                <c:pt idx="58">
                  <c:v>210.71462117968974</c:v>
                </c:pt>
                <c:pt idx="59">
                  <c:v>184.42876236976792</c:v>
                </c:pt>
                <c:pt idx="60">
                  <c:v>156.53716997341223</c:v>
                </c:pt>
                <c:pt idx="61">
                  <c:v>127.0398439906229</c:v>
                </c:pt>
                <c:pt idx="62">
                  <c:v>95.9367844213997</c:v>
                </c:pt>
                <c:pt idx="63">
                  <c:v>63.22799126574273</c:v>
                </c:pt>
                <c:pt idx="64">
                  <c:v>28.913464523651783</c:v>
                </c:pt>
                <c:pt idx="65">
                  <c:v>-7.006795804872695</c:v>
                </c:pt>
                <c:pt idx="66">
                  <c:v>-44.532789719831385</c:v>
                </c:pt>
                <c:pt idx="67">
                  <c:v>-83.66451722122372</c:v>
                </c:pt>
                <c:pt idx="68">
                  <c:v>-124.40197830905004</c:v>
                </c:pt>
                <c:pt idx="69">
                  <c:v>-166.74517298331</c:v>
                </c:pt>
                <c:pt idx="70">
                  <c:v>-210.69410124400383</c:v>
                </c:pt>
                <c:pt idx="71">
                  <c:v>-256.24876309113154</c:v>
                </c:pt>
                <c:pt idx="72">
                  <c:v>-303.409158524693</c:v>
                </c:pt>
                <c:pt idx="73">
                  <c:v>-352.17528754468833</c:v>
                </c:pt>
                <c:pt idx="74">
                  <c:v>-402.54715015111753</c:v>
                </c:pt>
                <c:pt idx="75">
                  <c:v>-454.5247463439806</c:v>
                </c:pt>
                <c:pt idx="76">
                  <c:v>-508.1080761232773</c:v>
                </c:pt>
                <c:pt idx="77">
                  <c:v>-563.2971394890079</c:v>
                </c:pt>
                <c:pt idx="78">
                  <c:v>-620.0919364411724</c:v>
                </c:pt>
                <c:pt idx="79">
                  <c:v>-678.4924669797707</c:v>
                </c:pt>
                <c:pt idx="80">
                  <c:v>-738.4987311048027</c:v>
                </c:pt>
                <c:pt idx="81">
                  <c:v>-800.1107288162688</c:v>
                </c:pt>
                <c:pt idx="82">
                  <c:v>-863.3284601141685</c:v>
                </c:pt>
                <c:pt idx="83">
                  <c:v>-928.1519249985021</c:v>
                </c:pt>
                <c:pt idx="84">
                  <c:v>-945.269045029887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'Sezione doppio T modificato'!$G$69:$G$70</c:f>
              <c:strCache>
                <c:ptCount val="1"/>
                <c:pt idx="0">
                  <c:v>e(x) mm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'Sezione doppio T modificato'!$R$71:$R$155</c:f>
              <c:numCache>
                <c:ptCount val="85"/>
                <c:pt idx="0">
                  <c:v>0</c:v>
                </c:pt>
                <c:pt idx="1">
                  <c:v>61.75450315826555</c:v>
                </c:pt>
                <c:pt idx="2">
                  <c:v>121.9890825371005</c:v>
                </c:pt>
                <c:pt idx="3">
                  <c:v>180.70373813650482</c:v>
                </c:pt>
                <c:pt idx="4">
                  <c:v>237.89846995647855</c:v>
                </c:pt>
                <c:pt idx="5">
                  <c:v>293.5732779970217</c:v>
                </c:pt>
                <c:pt idx="6">
                  <c:v>347.7281622581342</c:v>
                </c:pt>
                <c:pt idx="7">
                  <c:v>400.3631227398161</c:v>
                </c:pt>
                <c:pt idx="8">
                  <c:v>451.47815944206747</c:v>
                </c:pt>
                <c:pt idx="9">
                  <c:v>501.073272364888</c:v>
                </c:pt>
                <c:pt idx="10">
                  <c:v>549.1484615082782</c:v>
                </c:pt>
                <c:pt idx="11">
                  <c:v>595.7037268722377</c:v>
                </c:pt>
                <c:pt idx="12">
                  <c:v>640.7390684567666</c:v>
                </c:pt>
                <c:pt idx="13">
                  <c:v>684.2544862618647</c:v>
                </c:pt>
                <c:pt idx="14">
                  <c:v>726.2499802875326</c:v>
                </c:pt>
                <c:pt idx="15">
                  <c:v>766.7255505337696</c:v>
                </c:pt>
                <c:pt idx="16">
                  <c:v>805.6811970005759</c:v>
                </c:pt>
                <c:pt idx="17">
                  <c:v>843.1169196879518</c:v>
                </c:pt>
                <c:pt idx="18">
                  <c:v>879.032718595897</c:v>
                </c:pt>
                <c:pt idx="19">
                  <c:v>913.4285937244117</c:v>
                </c:pt>
                <c:pt idx="20">
                  <c:v>946.3045450734958</c:v>
                </c:pt>
                <c:pt idx="21">
                  <c:v>977.6605726431491</c:v>
                </c:pt>
                <c:pt idx="22">
                  <c:v>1007.496676433372</c:v>
                </c:pt>
                <c:pt idx="23">
                  <c:v>1035.8128564441643</c:v>
                </c:pt>
                <c:pt idx="24">
                  <c:v>1062.6091126755257</c:v>
                </c:pt>
                <c:pt idx="25">
                  <c:v>1087.8854451274567</c:v>
                </c:pt>
                <c:pt idx="26">
                  <c:v>1111.641853799957</c:v>
                </c:pt>
                <c:pt idx="27">
                  <c:v>1133.878338693027</c:v>
                </c:pt>
                <c:pt idx="28">
                  <c:v>1154.5948998066663</c:v>
                </c:pt>
                <c:pt idx="29">
                  <c:v>1173.7915371408749</c:v>
                </c:pt>
                <c:pt idx="30">
                  <c:v>1191.4682506956528</c:v>
                </c:pt>
                <c:pt idx="31">
                  <c:v>1207.6250404710001</c:v>
                </c:pt>
                <c:pt idx="32">
                  <c:v>1222.2619064669166</c:v>
                </c:pt>
                <c:pt idx="33">
                  <c:v>1235.378848683403</c:v>
                </c:pt>
                <c:pt idx="34">
                  <c:v>1246.9758671204584</c:v>
                </c:pt>
                <c:pt idx="35">
                  <c:v>1257.0529617780833</c:v>
                </c:pt>
                <c:pt idx="36">
                  <c:v>1265.6101326562773</c:v>
                </c:pt>
                <c:pt idx="37">
                  <c:v>1272.6473797550414</c:v>
                </c:pt>
                <c:pt idx="38">
                  <c:v>1278.1647030743745</c:v>
                </c:pt>
                <c:pt idx="39">
                  <c:v>1282.162102614277</c:v>
                </c:pt>
                <c:pt idx="40">
                  <c:v>1284.6395783747487</c:v>
                </c:pt>
                <c:pt idx="41">
                  <c:v>1285.5971303557901</c:v>
                </c:pt>
                <c:pt idx="42">
                  <c:v>1285.6099737117263</c:v>
                </c:pt>
                <c:pt idx="43">
                  <c:v>1285.034758557401</c:v>
                </c:pt>
                <c:pt idx="44">
                  <c:v>1282.952462979581</c:v>
                </c:pt>
                <c:pt idx="45">
                  <c:v>1279.3502436223303</c:v>
                </c:pt>
                <c:pt idx="46">
                  <c:v>1274.2281004856493</c:v>
                </c:pt>
                <c:pt idx="47">
                  <c:v>1267.5860335695374</c:v>
                </c:pt>
                <c:pt idx="48">
                  <c:v>1259.4240428739952</c:v>
                </c:pt>
                <c:pt idx="49">
                  <c:v>1249.742128399022</c:v>
                </c:pt>
                <c:pt idx="50">
                  <c:v>1238.5402901446184</c:v>
                </c:pt>
                <c:pt idx="51">
                  <c:v>1225.8185281107844</c:v>
                </c:pt>
                <c:pt idx="52">
                  <c:v>1211.5768422975195</c:v>
                </c:pt>
                <c:pt idx="53">
                  <c:v>1195.8152327048242</c:v>
                </c:pt>
                <c:pt idx="54">
                  <c:v>1178.533699332698</c:v>
                </c:pt>
                <c:pt idx="55">
                  <c:v>1159.7322421811416</c:v>
                </c:pt>
                <c:pt idx="56">
                  <c:v>1139.4108612501543</c:v>
                </c:pt>
                <c:pt idx="57">
                  <c:v>1117.5695565397366</c:v>
                </c:pt>
                <c:pt idx="58">
                  <c:v>1094.2083280498878</c:v>
                </c:pt>
                <c:pt idx="59">
                  <c:v>1069.3271757806094</c:v>
                </c:pt>
                <c:pt idx="60">
                  <c:v>1042.9260997318993</c:v>
                </c:pt>
                <c:pt idx="61">
                  <c:v>1015.005099903759</c:v>
                </c:pt>
                <c:pt idx="62">
                  <c:v>985.5641762961882</c:v>
                </c:pt>
                <c:pt idx="63">
                  <c:v>954.6033289091868</c:v>
                </c:pt>
                <c:pt idx="64">
                  <c:v>922.1225577427548</c:v>
                </c:pt>
                <c:pt idx="65">
                  <c:v>888.1218627968921</c:v>
                </c:pt>
                <c:pt idx="66">
                  <c:v>852.601244071599</c:v>
                </c:pt>
                <c:pt idx="67">
                  <c:v>815.5607015668749</c:v>
                </c:pt>
                <c:pt idx="68">
                  <c:v>777.0002352827206</c:v>
                </c:pt>
                <c:pt idx="69">
                  <c:v>736.9198452191353</c:v>
                </c:pt>
                <c:pt idx="70">
                  <c:v>695.3195313761199</c:v>
                </c:pt>
                <c:pt idx="71">
                  <c:v>652.1992937536733</c:v>
                </c:pt>
                <c:pt idx="72">
                  <c:v>607.5591323517966</c:v>
                </c:pt>
                <c:pt idx="73">
                  <c:v>561.3990471704889</c:v>
                </c:pt>
                <c:pt idx="74">
                  <c:v>513.7190382097506</c:v>
                </c:pt>
                <c:pt idx="75">
                  <c:v>464.5191054695821</c:v>
                </c:pt>
                <c:pt idx="76">
                  <c:v>413.7992489499825</c:v>
                </c:pt>
                <c:pt idx="77">
                  <c:v>361.55946865095285</c:v>
                </c:pt>
                <c:pt idx="78">
                  <c:v>307.79976457249205</c:v>
                </c:pt>
                <c:pt idx="79">
                  <c:v>252.5201367146012</c:v>
                </c:pt>
                <c:pt idx="80">
                  <c:v>195.72058507727914</c:v>
                </c:pt>
                <c:pt idx="81">
                  <c:v>137.40110966052706</c:v>
                </c:pt>
                <c:pt idx="82">
                  <c:v>77.56171046434382</c:v>
                </c:pt>
                <c:pt idx="83">
                  <c:v>16.20238748873053</c:v>
                </c:pt>
                <c:pt idx="8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Bordo superiore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'Sezione doppio T modificato'!$T$71:$T$155</c:f>
              <c:numCache>
                <c:ptCount val="85"/>
                <c:pt idx="0">
                  <c:v>-1144.6757405739882</c:v>
                </c:pt>
                <c:pt idx="1">
                  <c:v>-1144.6757405739882</c:v>
                </c:pt>
                <c:pt idx="2">
                  <c:v>-1144.6757405739882</c:v>
                </c:pt>
                <c:pt idx="3">
                  <c:v>-1144.6757405739882</c:v>
                </c:pt>
                <c:pt idx="4">
                  <c:v>-1144.6757405739882</c:v>
                </c:pt>
                <c:pt idx="5">
                  <c:v>-1144.6757405739882</c:v>
                </c:pt>
                <c:pt idx="6">
                  <c:v>-1144.6757405739882</c:v>
                </c:pt>
                <c:pt idx="7">
                  <c:v>-1144.6757405739882</c:v>
                </c:pt>
                <c:pt idx="8">
                  <c:v>-1144.6757405739882</c:v>
                </c:pt>
                <c:pt idx="9">
                  <c:v>-1144.6757405739882</c:v>
                </c:pt>
                <c:pt idx="10">
                  <c:v>-1144.6757405739882</c:v>
                </c:pt>
                <c:pt idx="11">
                  <c:v>-1144.6757405739882</c:v>
                </c:pt>
                <c:pt idx="12">
                  <c:v>-1144.6757405739882</c:v>
                </c:pt>
                <c:pt idx="13">
                  <c:v>-1144.6757405739882</c:v>
                </c:pt>
                <c:pt idx="14">
                  <c:v>-1144.6757405739882</c:v>
                </c:pt>
                <c:pt idx="15">
                  <c:v>-1144.6757405739882</c:v>
                </c:pt>
                <c:pt idx="16">
                  <c:v>-1144.6757405739882</c:v>
                </c:pt>
                <c:pt idx="17">
                  <c:v>-1144.6757405739882</c:v>
                </c:pt>
                <c:pt idx="18">
                  <c:v>-1144.6757405739882</c:v>
                </c:pt>
                <c:pt idx="19">
                  <c:v>-1144.6757405739882</c:v>
                </c:pt>
                <c:pt idx="20">
                  <c:v>-1144.6757405739882</c:v>
                </c:pt>
                <c:pt idx="21">
                  <c:v>-1144.6757405739882</c:v>
                </c:pt>
                <c:pt idx="22">
                  <c:v>-1144.6757405739882</c:v>
                </c:pt>
                <c:pt idx="23">
                  <c:v>-1144.6757405739882</c:v>
                </c:pt>
                <c:pt idx="24">
                  <c:v>-1144.6757405739882</c:v>
                </c:pt>
                <c:pt idx="25">
                  <c:v>-1144.6757405739882</c:v>
                </c:pt>
                <c:pt idx="26">
                  <c:v>-1144.6757405739882</c:v>
                </c:pt>
                <c:pt idx="27">
                  <c:v>-1144.6757405739882</c:v>
                </c:pt>
                <c:pt idx="28">
                  <c:v>-1144.6757405739882</c:v>
                </c:pt>
                <c:pt idx="29">
                  <c:v>-1144.6757405739882</c:v>
                </c:pt>
                <c:pt idx="30">
                  <c:v>-1144.6757405739882</c:v>
                </c:pt>
                <c:pt idx="31">
                  <c:v>-1144.6757405739882</c:v>
                </c:pt>
                <c:pt idx="32">
                  <c:v>-1144.6757405739882</c:v>
                </c:pt>
                <c:pt idx="33">
                  <c:v>-1144.6757405739882</c:v>
                </c:pt>
                <c:pt idx="34">
                  <c:v>-1144.6757405739882</c:v>
                </c:pt>
                <c:pt idx="35">
                  <c:v>-1144.6757405739882</c:v>
                </c:pt>
                <c:pt idx="36">
                  <c:v>-1144.6757405739882</c:v>
                </c:pt>
                <c:pt idx="37">
                  <c:v>-1144.6757405739882</c:v>
                </c:pt>
                <c:pt idx="38">
                  <c:v>-1144.6757405739882</c:v>
                </c:pt>
                <c:pt idx="39">
                  <c:v>-1144.6757405739882</c:v>
                </c:pt>
                <c:pt idx="40">
                  <c:v>-1144.6757405739882</c:v>
                </c:pt>
                <c:pt idx="41">
                  <c:v>-1144.6757405739882</c:v>
                </c:pt>
                <c:pt idx="42">
                  <c:v>-1144.6757405739882</c:v>
                </c:pt>
                <c:pt idx="43">
                  <c:v>-1144.6757405739882</c:v>
                </c:pt>
                <c:pt idx="44">
                  <c:v>-1144.6757405739882</c:v>
                </c:pt>
                <c:pt idx="45">
                  <c:v>-1144.6757405739882</c:v>
                </c:pt>
                <c:pt idx="46">
                  <c:v>-1144.6757405739882</c:v>
                </c:pt>
                <c:pt idx="47">
                  <c:v>-1144.6757405739882</c:v>
                </c:pt>
                <c:pt idx="48">
                  <c:v>-1144.6757405739882</c:v>
                </c:pt>
                <c:pt idx="49">
                  <c:v>-1144.6757405739882</c:v>
                </c:pt>
                <c:pt idx="50">
                  <c:v>-1144.6757405739882</c:v>
                </c:pt>
                <c:pt idx="51">
                  <c:v>-1144.6757405739882</c:v>
                </c:pt>
                <c:pt idx="52">
                  <c:v>-1144.6757405739882</c:v>
                </c:pt>
                <c:pt idx="53">
                  <c:v>-1144.6757405739882</c:v>
                </c:pt>
                <c:pt idx="54">
                  <c:v>-1144.6757405739882</c:v>
                </c:pt>
                <c:pt idx="55">
                  <c:v>-1144.6757405739882</c:v>
                </c:pt>
                <c:pt idx="56">
                  <c:v>-1144.6757405739882</c:v>
                </c:pt>
                <c:pt idx="57">
                  <c:v>-1144.6757405739882</c:v>
                </c:pt>
                <c:pt idx="58">
                  <c:v>-1144.6757405739882</c:v>
                </c:pt>
                <c:pt idx="59">
                  <c:v>-1144.6757405739882</c:v>
                </c:pt>
                <c:pt idx="60">
                  <c:v>-1144.6757405739882</c:v>
                </c:pt>
                <c:pt idx="61">
                  <c:v>-1144.6757405739882</c:v>
                </c:pt>
                <c:pt idx="62">
                  <c:v>-1144.6757405739882</c:v>
                </c:pt>
                <c:pt idx="63">
                  <c:v>-1144.6757405739882</c:v>
                </c:pt>
                <c:pt idx="64">
                  <c:v>-1144.6757405739882</c:v>
                </c:pt>
                <c:pt idx="65">
                  <c:v>-1144.6757405739882</c:v>
                </c:pt>
                <c:pt idx="66">
                  <c:v>-1144.6757405739882</c:v>
                </c:pt>
                <c:pt idx="67">
                  <c:v>-1144.6757405739882</c:v>
                </c:pt>
                <c:pt idx="68">
                  <c:v>-1144.6757405739882</c:v>
                </c:pt>
                <c:pt idx="69">
                  <c:v>-1144.6757405739882</c:v>
                </c:pt>
                <c:pt idx="70">
                  <c:v>-1144.6757405739882</c:v>
                </c:pt>
                <c:pt idx="71">
                  <c:v>-1144.6757405739882</c:v>
                </c:pt>
                <c:pt idx="72">
                  <c:v>-1144.6757405739882</c:v>
                </c:pt>
                <c:pt idx="73">
                  <c:v>-1144.6757405739882</c:v>
                </c:pt>
                <c:pt idx="74">
                  <c:v>-1144.6757405739882</c:v>
                </c:pt>
                <c:pt idx="75">
                  <c:v>-1144.6757405739882</c:v>
                </c:pt>
                <c:pt idx="76">
                  <c:v>-1144.6757405739882</c:v>
                </c:pt>
                <c:pt idx="77">
                  <c:v>-1144.6757405739882</c:v>
                </c:pt>
                <c:pt idx="78">
                  <c:v>-1144.6757405739882</c:v>
                </c:pt>
                <c:pt idx="79">
                  <c:v>-1144.6757405739882</c:v>
                </c:pt>
                <c:pt idx="80">
                  <c:v>-1144.6757405739882</c:v>
                </c:pt>
                <c:pt idx="81">
                  <c:v>-1144.6757405739882</c:v>
                </c:pt>
                <c:pt idx="82">
                  <c:v>-1144.6757405739882</c:v>
                </c:pt>
                <c:pt idx="83">
                  <c:v>-1144.6757405739882</c:v>
                </c:pt>
                <c:pt idx="84">
                  <c:v>-1144.6757405739882</c:v>
                </c:pt>
              </c:numCache>
            </c:numRef>
          </c:val>
          <c:smooth val="0"/>
        </c:ser>
        <c:ser>
          <c:idx val="4"/>
          <c:order val="4"/>
          <c:tx>
            <c:v>Bordo inferiore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'Sezione doppio T modificato'!$U$71:$U$155</c:f>
              <c:numCache>
                <c:ptCount val="85"/>
                <c:pt idx="0">
                  <c:v>1690.6575927593453</c:v>
                </c:pt>
                <c:pt idx="1">
                  <c:v>1690.6575927593453</c:v>
                </c:pt>
                <c:pt idx="2">
                  <c:v>1690.6575927593453</c:v>
                </c:pt>
                <c:pt idx="3">
                  <c:v>1690.6575927593453</c:v>
                </c:pt>
                <c:pt idx="4">
                  <c:v>1690.6575927593453</c:v>
                </c:pt>
                <c:pt idx="5">
                  <c:v>1690.6575927593453</c:v>
                </c:pt>
                <c:pt idx="6">
                  <c:v>1690.6575927593453</c:v>
                </c:pt>
                <c:pt idx="7">
                  <c:v>1690.6575927593453</c:v>
                </c:pt>
                <c:pt idx="8">
                  <c:v>1690.6575927593453</c:v>
                </c:pt>
                <c:pt idx="9">
                  <c:v>1690.6575927593453</c:v>
                </c:pt>
                <c:pt idx="10">
                  <c:v>1690.6575927593453</c:v>
                </c:pt>
                <c:pt idx="11">
                  <c:v>1690.6575927593453</c:v>
                </c:pt>
                <c:pt idx="12">
                  <c:v>1690.6575927593453</c:v>
                </c:pt>
                <c:pt idx="13">
                  <c:v>1690.6575927593453</c:v>
                </c:pt>
                <c:pt idx="14">
                  <c:v>1690.6575927593453</c:v>
                </c:pt>
                <c:pt idx="15">
                  <c:v>1690.6575927593453</c:v>
                </c:pt>
                <c:pt idx="16">
                  <c:v>1690.6575927593453</c:v>
                </c:pt>
                <c:pt idx="17">
                  <c:v>1690.6575927593453</c:v>
                </c:pt>
                <c:pt idx="18">
                  <c:v>1690.6575927593453</c:v>
                </c:pt>
                <c:pt idx="19">
                  <c:v>1690.6575927593453</c:v>
                </c:pt>
                <c:pt idx="20">
                  <c:v>1690.6575927593453</c:v>
                </c:pt>
                <c:pt idx="21">
                  <c:v>1690.6575927593453</c:v>
                </c:pt>
                <c:pt idx="22">
                  <c:v>1690.6575927593453</c:v>
                </c:pt>
                <c:pt idx="23">
                  <c:v>1690.6575927593453</c:v>
                </c:pt>
                <c:pt idx="24">
                  <c:v>1690.6575927593453</c:v>
                </c:pt>
                <c:pt idx="25">
                  <c:v>1690.6575927593453</c:v>
                </c:pt>
                <c:pt idx="26">
                  <c:v>1690.6575927593453</c:v>
                </c:pt>
                <c:pt idx="27">
                  <c:v>1690.6575927593453</c:v>
                </c:pt>
                <c:pt idx="28">
                  <c:v>1690.6575927593453</c:v>
                </c:pt>
                <c:pt idx="29">
                  <c:v>1690.6575927593453</c:v>
                </c:pt>
                <c:pt idx="30">
                  <c:v>1690.6575927593453</c:v>
                </c:pt>
                <c:pt idx="31">
                  <c:v>1690.6575927593453</c:v>
                </c:pt>
                <c:pt idx="32">
                  <c:v>1690.6575927593453</c:v>
                </c:pt>
                <c:pt idx="33">
                  <c:v>1690.6575927593453</c:v>
                </c:pt>
                <c:pt idx="34">
                  <c:v>1690.6575927593453</c:v>
                </c:pt>
                <c:pt idx="35">
                  <c:v>1690.6575927593453</c:v>
                </c:pt>
                <c:pt idx="36">
                  <c:v>1690.6575927593453</c:v>
                </c:pt>
                <c:pt idx="37">
                  <c:v>1690.6575927593453</c:v>
                </c:pt>
                <c:pt idx="38">
                  <c:v>1690.6575927593453</c:v>
                </c:pt>
                <c:pt idx="39">
                  <c:v>1690.6575927593453</c:v>
                </c:pt>
                <c:pt idx="40">
                  <c:v>1690.6575927593453</c:v>
                </c:pt>
                <c:pt idx="41">
                  <c:v>1690.6575927593453</c:v>
                </c:pt>
                <c:pt idx="42">
                  <c:v>1690.6575927593453</c:v>
                </c:pt>
                <c:pt idx="43">
                  <c:v>1690.6575927593453</c:v>
                </c:pt>
                <c:pt idx="44">
                  <c:v>1690.6575927593453</c:v>
                </c:pt>
                <c:pt idx="45">
                  <c:v>1690.6575927593453</c:v>
                </c:pt>
                <c:pt idx="46">
                  <c:v>1690.6575927593453</c:v>
                </c:pt>
                <c:pt idx="47">
                  <c:v>1690.6575927593453</c:v>
                </c:pt>
                <c:pt idx="48">
                  <c:v>1690.6575927593453</c:v>
                </c:pt>
                <c:pt idx="49">
                  <c:v>1690.6575927593453</c:v>
                </c:pt>
                <c:pt idx="50">
                  <c:v>1690.6575927593453</c:v>
                </c:pt>
                <c:pt idx="51">
                  <c:v>1690.6575927593453</c:v>
                </c:pt>
                <c:pt idx="52">
                  <c:v>1690.6575927593453</c:v>
                </c:pt>
                <c:pt idx="53">
                  <c:v>1690.6575927593453</c:v>
                </c:pt>
                <c:pt idx="54">
                  <c:v>1690.6575927593453</c:v>
                </c:pt>
                <c:pt idx="55">
                  <c:v>1690.6575927593453</c:v>
                </c:pt>
                <c:pt idx="56">
                  <c:v>1690.6575927593453</c:v>
                </c:pt>
                <c:pt idx="57">
                  <c:v>1690.6575927593453</c:v>
                </c:pt>
                <c:pt idx="58">
                  <c:v>1690.6575927593453</c:v>
                </c:pt>
                <c:pt idx="59">
                  <c:v>1690.6575927593453</c:v>
                </c:pt>
                <c:pt idx="60">
                  <c:v>1690.6575927593453</c:v>
                </c:pt>
                <c:pt idx="61">
                  <c:v>1690.6575927593453</c:v>
                </c:pt>
                <c:pt idx="62">
                  <c:v>1690.6575927593453</c:v>
                </c:pt>
                <c:pt idx="63">
                  <c:v>1690.6575927593453</c:v>
                </c:pt>
                <c:pt idx="64">
                  <c:v>1690.6575927593453</c:v>
                </c:pt>
                <c:pt idx="65">
                  <c:v>1690.6575927593453</c:v>
                </c:pt>
                <c:pt idx="66">
                  <c:v>1690.6575927593453</c:v>
                </c:pt>
                <c:pt idx="67">
                  <c:v>1690.6575927593453</c:v>
                </c:pt>
                <c:pt idx="68">
                  <c:v>1690.6575927593453</c:v>
                </c:pt>
                <c:pt idx="69">
                  <c:v>1690.6575927593453</c:v>
                </c:pt>
                <c:pt idx="70">
                  <c:v>1690.6575927593453</c:v>
                </c:pt>
                <c:pt idx="71">
                  <c:v>1690.6575927593453</c:v>
                </c:pt>
                <c:pt idx="72">
                  <c:v>1690.6575927593453</c:v>
                </c:pt>
                <c:pt idx="73">
                  <c:v>1690.6575927593453</c:v>
                </c:pt>
                <c:pt idx="74">
                  <c:v>1690.6575927593453</c:v>
                </c:pt>
                <c:pt idx="75">
                  <c:v>1690.6575927593453</c:v>
                </c:pt>
                <c:pt idx="76">
                  <c:v>1690.6575927593453</c:v>
                </c:pt>
                <c:pt idx="77">
                  <c:v>1690.6575927593453</c:v>
                </c:pt>
                <c:pt idx="78">
                  <c:v>1690.6575927593453</c:v>
                </c:pt>
                <c:pt idx="79">
                  <c:v>1690.6575927593453</c:v>
                </c:pt>
                <c:pt idx="80">
                  <c:v>1690.6575927593453</c:v>
                </c:pt>
                <c:pt idx="81">
                  <c:v>1690.6575927593453</c:v>
                </c:pt>
                <c:pt idx="82">
                  <c:v>1690.6575927593453</c:v>
                </c:pt>
                <c:pt idx="83">
                  <c:v>1690.6575927593453</c:v>
                </c:pt>
                <c:pt idx="84">
                  <c:v>1690.6575927593453</c:v>
                </c:pt>
              </c:numCache>
            </c:numRef>
          </c:val>
          <c:smooth val="0"/>
        </c:ser>
        <c:axId val="53378735"/>
        <c:axId val="10646568"/>
      </c:lineChart>
      <c:catAx>
        <c:axId val="533787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Fuso di Guyon e cavo risultante nella trave</a:t>
                </a:r>
              </a:p>
            </c:rich>
          </c:tx>
          <c:layout>
            <c:manualLayout>
              <c:xMode val="factor"/>
              <c:yMode val="factor"/>
              <c:x val="0.1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auto val="1"/>
        <c:lblOffset val="100"/>
        <c:tickLblSkip val="10"/>
        <c:noMultiLvlLbl val="0"/>
      </c:catAx>
      <c:valAx>
        <c:axId val="10646568"/>
        <c:scaling>
          <c:orientation val="maxMin"/>
          <c:max val="21262"/>
          <c:min val="-2126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97"/>
          <c:y val="0.5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1968503937007874" bottom="0.1968503937007874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1968503937007874" bottom="0.1968503937007874" header="0.5118110236220472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1968503937007874" bottom="0.1968503937007874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7191375"/>
    <xdr:graphicFrame>
      <xdr:nvGraphicFramePr>
        <xdr:cNvPr id="1" name="Chart 1"/>
        <xdr:cNvGraphicFramePr/>
      </xdr:nvGraphicFramePr>
      <xdr:xfrm>
        <a:off x="0" y="0"/>
        <a:ext cx="99631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7191375"/>
    <xdr:graphicFrame>
      <xdr:nvGraphicFramePr>
        <xdr:cNvPr id="1" name="Shape 1025"/>
        <xdr:cNvGraphicFramePr/>
      </xdr:nvGraphicFramePr>
      <xdr:xfrm>
        <a:off x="0" y="0"/>
        <a:ext cx="99631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7191375"/>
    <xdr:graphicFrame>
      <xdr:nvGraphicFramePr>
        <xdr:cNvPr id="1" name="Shape 1025"/>
        <xdr:cNvGraphicFramePr/>
      </xdr:nvGraphicFramePr>
      <xdr:xfrm>
        <a:off x="0" y="0"/>
        <a:ext cx="99631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tabSelected="1" workbookViewId="0" topLeftCell="A1">
      <selection activeCell="E196" sqref="E196"/>
    </sheetView>
  </sheetViews>
  <sheetFormatPr defaultColWidth="9.140625" defaultRowHeight="12.75"/>
  <cols>
    <col min="1" max="12" width="14.7109375" style="0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3"/>
    </row>
    <row r="2" spans="1:12" ht="12.75">
      <c r="A2" s="1"/>
      <c r="B2" s="2"/>
      <c r="C2" s="3"/>
      <c r="D2" s="3"/>
      <c r="E2" s="3"/>
      <c r="F2" s="3"/>
      <c r="G2" s="4"/>
      <c r="H2" s="3"/>
      <c r="I2" s="3"/>
      <c r="J2" s="3"/>
      <c r="K2" s="3"/>
      <c r="L2" s="3"/>
    </row>
    <row r="3" spans="1:12" ht="12.75">
      <c r="A3" s="5" t="s">
        <v>10</v>
      </c>
      <c r="B3" s="5" t="s">
        <v>17</v>
      </c>
      <c r="C3" s="5" t="s">
        <v>85</v>
      </c>
      <c r="D3" s="5" t="s">
        <v>84</v>
      </c>
      <c r="E3" s="17"/>
      <c r="F3" s="17"/>
      <c r="G3" s="17"/>
      <c r="H3" s="17"/>
      <c r="I3" s="3"/>
      <c r="J3" s="3"/>
      <c r="K3" s="3"/>
      <c r="L3" s="3"/>
    </row>
    <row r="4" spans="1:12" ht="12.75">
      <c r="A4" s="6" t="s">
        <v>11</v>
      </c>
      <c r="B4" s="6" t="s">
        <v>11</v>
      </c>
      <c r="C4" s="6" t="s">
        <v>11</v>
      </c>
      <c r="D4" s="6" t="s">
        <v>11</v>
      </c>
      <c r="E4" s="18"/>
      <c r="F4" s="18"/>
      <c r="G4" s="18"/>
      <c r="H4" s="18"/>
      <c r="I4" s="3"/>
      <c r="J4" s="3"/>
      <c r="K4" s="3"/>
      <c r="L4" s="3"/>
    </row>
    <row r="5" spans="1:12" ht="12.75">
      <c r="A5" s="11">
        <v>42.53</v>
      </c>
      <c r="B5" s="12">
        <v>1.4</v>
      </c>
      <c r="C5" s="12">
        <f>A5-B5</f>
        <v>41.13</v>
      </c>
      <c r="D5" s="12">
        <f>B5/2</f>
        <v>0.7</v>
      </c>
      <c r="E5" s="19"/>
      <c r="F5" s="20"/>
      <c r="G5" s="20"/>
      <c r="H5" s="20"/>
      <c r="I5" s="3"/>
      <c r="J5" s="3"/>
      <c r="K5" s="3"/>
      <c r="L5" s="3"/>
    </row>
    <row r="6" spans="1:12" ht="12.75">
      <c r="A6" s="1"/>
      <c r="B6" s="2"/>
      <c r="C6" s="3"/>
      <c r="D6" s="3"/>
      <c r="E6" s="3"/>
      <c r="F6" s="3"/>
      <c r="G6" s="4"/>
      <c r="H6" s="3"/>
      <c r="I6" s="3"/>
      <c r="J6" s="3"/>
      <c r="K6" s="3"/>
      <c r="L6" s="3"/>
    </row>
    <row r="7" spans="1:12" ht="12.7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3"/>
      <c r="J7" s="3"/>
      <c r="K7" s="3"/>
      <c r="L7" s="3"/>
    </row>
    <row r="8" spans="1:12" ht="12.75">
      <c r="A8" s="6" t="s">
        <v>9</v>
      </c>
      <c r="B8" s="6" t="s">
        <v>9</v>
      </c>
      <c r="C8" s="6" t="s">
        <v>9</v>
      </c>
      <c r="D8" s="6" t="s">
        <v>9</v>
      </c>
      <c r="E8" s="6" t="s">
        <v>9</v>
      </c>
      <c r="F8" s="6" t="s">
        <v>9</v>
      </c>
      <c r="G8" s="6" t="s">
        <v>9</v>
      </c>
      <c r="H8" s="6" t="s">
        <v>9</v>
      </c>
      <c r="I8" s="3"/>
      <c r="J8" s="3"/>
      <c r="K8" s="3"/>
      <c r="L8" s="3"/>
    </row>
    <row r="9" spans="1:12" ht="12.75">
      <c r="A9" s="7">
        <v>5000</v>
      </c>
      <c r="B9" s="8">
        <f>0.45*A9</f>
        <v>2250</v>
      </c>
      <c r="C9" s="8">
        <f>1000*A5/18</f>
        <v>2362.777777777778</v>
      </c>
      <c r="D9" s="8">
        <f>C9/8</f>
        <v>295.34722222222223</v>
      </c>
      <c r="E9" s="9">
        <v>250</v>
      </c>
      <c r="F9" s="8">
        <f>C9/12</f>
        <v>196.89814814814815</v>
      </c>
      <c r="G9" s="8">
        <f>C9-(E9+F9)</f>
        <v>1915.8796296296296</v>
      </c>
      <c r="H9" s="8">
        <f>C9/8</f>
        <v>295.34722222222223</v>
      </c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5" t="s">
        <v>12</v>
      </c>
      <c r="B11" s="5" t="s">
        <v>13</v>
      </c>
      <c r="C11" s="5" t="s">
        <v>14</v>
      </c>
      <c r="D11" s="5" t="s">
        <v>81</v>
      </c>
      <c r="E11" s="5" t="s">
        <v>82</v>
      </c>
      <c r="F11" s="5" t="s">
        <v>86</v>
      </c>
      <c r="G11" s="17"/>
      <c r="H11" s="5" t="s">
        <v>16</v>
      </c>
      <c r="I11" s="5" t="s">
        <v>83</v>
      </c>
      <c r="J11" s="5" t="s">
        <v>19</v>
      </c>
      <c r="K11" s="21" t="s">
        <v>21</v>
      </c>
      <c r="L11" s="5" t="s">
        <v>20</v>
      </c>
    </row>
    <row r="12" spans="1:12" ht="12.75">
      <c r="A12" s="6" t="s">
        <v>15</v>
      </c>
      <c r="B12" s="6" t="s">
        <v>15</v>
      </c>
      <c r="C12" s="6" t="s">
        <v>15</v>
      </c>
      <c r="D12" s="6" t="s">
        <v>15</v>
      </c>
      <c r="E12" s="6" t="s">
        <v>15</v>
      </c>
      <c r="F12" s="6" t="s">
        <v>24</v>
      </c>
      <c r="G12" s="18"/>
      <c r="H12" s="6" t="s">
        <v>18</v>
      </c>
      <c r="I12" s="6" t="s">
        <v>18</v>
      </c>
      <c r="J12" s="6" t="s">
        <v>18</v>
      </c>
      <c r="K12" s="6" t="s">
        <v>22</v>
      </c>
      <c r="L12" s="6" t="s">
        <v>23</v>
      </c>
    </row>
    <row r="13" spans="1:12" ht="12.75">
      <c r="A13" s="7">
        <f>A9*E9</f>
        <v>1250000</v>
      </c>
      <c r="B13" s="8">
        <f>B9*F9</f>
        <v>443020.8333333333</v>
      </c>
      <c r="C13" s="8">
        <f>D9*G9</f>
        <v>565849.726723251</v>
      </c>
      <c r="D13" s="8">
        <f>A13+B13+C13</f>
        <v>2258870.5600565844</v>
      </c>
      <c r="E13" s="7">
        <f>((A9+B9)*(G9+F9)/2)+A9*E9</f>
        <v>8908819.444444444</v>
      </c>
      <c r="F13" s="7">
        <f>A17+B17+C17+D17+E17+F17</f>
        <v>1794106015480.6829</v>
      </c>
      <c r="G13" s="26"/>
      <c r="H13" s="11">
        <f>(D13*0.000001)*C5</f>
        <v>92.90734613512731</v>
      </c>
      <c r="I13" s="12">
        <f>(E13*0.000001)*B5</f>
        <v>12.47234722222222</v>
      </c>
      <c r="J13" s="12">
        <f>H13+I13</f>
        <v>105.37969335734954</v>
      </c>
      <c r="K13" s="12">
        <v>25</v>
      </c>
      <c r="L13" s="13">
        <f>J13*K13/A5</f>
        <v>61.94432950702418</v>
      </c>
    </row>
    <row r="14" spans="1:12" ht="12.75">
      <c r="A14" s="25"/>
      <c r="B14" s="26"/>
      <c r="C14" s="26"/>
      <c r="D14" s="26"/>
      <c r="E14" s="25"/>
      <c r="F14" s="26"/>
      <c r="G14" s="26"/>
      <c r="H14" s="27"/>
      <c r="I14" s="20"/>
      <c r="J14" s="20"/>
      <c r="K14" s="20"/>
      <c r="L14" s="19"/>
    </row>
    <row r="15" spans="1:12" ht="12.75">
      <c r="A15" s="5" t="s">
        <v>50</v>
      </c>
      <c r="B15" s="5" t="s">
        <v>51</v>
      </c>
      <c r="C15" s="5" t="s">
        <v>52</v>
      </c>
      <c r="D15" s="5" t="s">
        <v>53</v>
      </c>
      <c r="E15" s="5" t="s">
        <v>54</v>
      </c>
      <c r="F15" s="5" t="s">
        <v>55</v>
      </c>
      <c r="G15" s="26"/>
      <c r="H15" s="27"/>
      <c r="I15" s="20"/>
      <c r="J15" s="20"/>
      <c r="K15" s="20"/>
      <c r="L15" s="19"/>
    </row>
    <row r="16" spans="1:12" ht="12.75">
      <c r="A16" s="15" t="s">
        <v>24</v>
      </c>
      <c r="B16" s="15" t="s">
        <v>24</v>
      </c>
      <c r="C16" s="6" t="s">
        <v>24</v>
      </c>
      <c r="D16" s="6" t="s">
        <v>24</v>
      </c>
      <c r="E16" s="6" t="s">
        <v>24</v>
      </c>
      <c r="F16" s="6" t="s">
        <v>24</v>
      </c>
      <c r="G16" s="26"/>
      <c r="H16" s="27"/>
      <c r="I16" s="20"/>
      <c r="J16" s="20"/>
      <c r="K16" s="20"/>
      <c r="L16" s="19"/>
    </row>
    <row r="17" spans="1:12" ht="12.75">
      <c r="A17" s="7">
        <f>A9*(E9^3)/12</f>
        <v>6510416666.666667</v>
      </c>
      <c r="B17" s="7">
        <f>B9*(F9^3)/12</f>
        <v>1431285154.5569048</v>
      </c>
      <c r="C17" s="7">
        <f>D9*(G9^3)/12</f>
        <v>173083753263.21347</v>
      </c>
      <c r="D17" s="7">
        <f>A13*((C9-0.5*E9-A21)^2)</f>
        <v>596598007613.8138</v>
      </c>
      <c r="E17" s="7">
        <f>B13*((A21-0.5*F9)^2)</f>
        <v>929493475714.6685</v>
      </c>
      <c r="F17" s="7">
        <f>C13*((F9+0.5*G9-A21)^2)</f>
        <v>86989077067.76343</v>
      </c>
      <c r="G17" s="26"/>
      <c r="H17" s="27"/>
      <c r="I17" s="20"/>
      <c r="J17" s="20"/>
      <c r="K17" s="20"/>
      <c r="L17" s="19"/>
    </row>
    <row r="18" spans="1:12" ht="12.75">
      <c r="A18" s="25"/>
      <c r="B18" s="26"/>
      <c r="C18" s="26"/>
      <c r="D18" s="26"/>
      <c r="E18" s="25"/>
      <c r="F18" s="26"/>
      <c r="G18" s="26"/>
      <c r="H18" s="27"/>
      <c r="I18" s="20"/>
      <c r="J18" s="20"/>
      <c r="K18" s="20"/>
      <c r="L18" s="19"/>
    </row>
    <row r="19" spans="1:12" ht="14.25">
      <c r="A19" s="21" t="s">
        <v>7</v>
      </c>
      <c r="B19" s="26"/>
      <c r="C19" s="26"/>
      <c r="D19" s="26"/>
      <c r="E19" s="25"/>
      <c r="F19" s="26"/>
      <c r="G19" s="26"/>
      <c r="H19" s="27"/>
      <c r="I19" s="20"/>
      <c r="J19" s="20"/>
      <c r="K19" s="20"/>
      <c r="L19" s="19"/>
    </row>
    <row r="20" spans="1:12" ht="12.75">
      <c r="A20" s="6" t="s">
        <v>9</v>
      </c>
      <c r="B20" s="26"/>
      <c r="C20" s="26"/>
      <c r="D20" s="26"/>
      <c r="E20" s="25"/>
      <c r="F20" s="26"/>
      <c r="G20" s="26"/>
      <c r="H20" s="27"/>
      <c r="I20" s="20"/>
      <c r="J20" s="20"/>
      <c r="K20" s="20"/>
      <c r="L20" s="19"/>
    </row>
    <row r="21" spans="1:12" ht="12.75">
      <c r="A21" s="7">
        <f>(A13*(C9-0.5*E9)+B13*0.5*F9+C13*(F9+0.5*G9))/(A13+B13+C13)</f>
        <v>1546.9243880552904</v>
      </c>
      <c r="B21" s="26"/>
      <c r="C21" s="26"/>
      <c r="D21" s="26"/>
      <c r="E21" s="25"/>
      <c r="F21" s="26"/>
      <c r="G21" s="26"/>
      <c r="H21" s="27"/>
      <c r="I21" s="20"/>
      <c r="J21" s="20"/>
      <c r="K21" s="20"/>
      <c r="L21" s="19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1" t="s">
        <v>25</v>
      </c>
      <c r="B23" s="2"/>
      <c r="C23" s="3"/>
      <c r="D23" s="3"/>
      <c r="E23" s="3"/>
      <c r="F23" s="3"/>
      <c r="G23" s="3"/>
      <c r="H23" s="3" t="s">
        <v>56</v>
      </c>
      <c r="I23" s="3"/>
      <c r="J23" s="3"/>
      <c r="K23" s="3"/>
      <c r="L23" s="3"/>
    </row>
    <row r="24" spans="1:12" ht="12.75">
      <c r="A24" s="1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5" t="s">
        <v>20</v>
      </c>
      <c r="B25" s="5" t="s">
        <v>26</v>
      </c>
      <c r="C25" s="14" t="s">
        <v>27</v>
      </c>
      <c r="D25" s="22"/>
      <c r="E25" s="5" t="s">
        <v>28</v>
      </c>
      <c r="F25" s="5" t="s">
        <v>29</v>
      </c>
      <c r="G25" s="3"/>
      <c r="H25" s="5" t="s">
        <v>57</v>
      </c>
      <c r="I25" s="5" t="s">
        <v>58</v>
      </c>
      <c r="J25" s="3"/>
      <c r="K25" s="3"/>
      <c r="L25" s="3"/>
    </row>
    <row r="26" spans="1:12" ht="12.75">
      <c r="A26" s="6" t="s">
        <v>23</v>
      </c>
      <c r="B26" s="6" t="s">
        <v>23</v>
      </c>
      <c r="C26" s="6" t="s">
        <v>23</v>
      </c>
      <c r="D26" s="23"/>
      <c r="E26" s="6" t="s">
        <v>23</v>
      </c>
      <c r="F26" s="6" t="s">
        <v>23</v>
      </c>
      <c r="G26" s="3"/>
      <c r="H26" s="6" t="s">
        <v>59</v>
      </c>
      <c r="I26" s="6" t="s">
        <v>59</v>
      </c>
      <c r="J26" s="3"/>
      <c r="K26" s="3"/>
      <c r="L26" s="3"/>
    </row>
    <row r="27" spans="1:12" ht="12.75">
      <c r="A27" s="11">
        <f>L13</f>
        <v>61.94432950702418</v>
      </c>
      <c r="B27" s="12">
        <v>20</v>
      </c>
      <c r="C27" s="16">
        <v>50</v>
      </c>
      <c r="D27" s="24"/>
      <c r="E27" s="13">
        <f>A27+B27</f>
        <v>81.94432950702418</v>
      </c>
      <c r="F27" s="13">
        <f>C27</f>
        <v>50</v>
      </c>
      <c r="G27" s="3"/>
      <c r="H27" s="13">
        <f>A27*C5*C5/8</f>
        <v>13098.72391412765</v>
      </c>
      <c r="I27" s="13">
        <f>(E27+F27)*C5*C5/8</f>
        <v>27900.89678912765</v>
      </c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 hidden="1">
      <c r="A29" s="3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7.25" hidden="1">
      <c r="A31" s="5" t="s">
        <v>31</v>
      </c>
      <c r="B31" s="5" t="s">
        <v>32</v>
      </c>
      <c r="C31" s="28" t="s">
        <v>33</v>
      </c>
      <c r="D31" s="28" t="s">
        <v>34</v>
      </c>
      <c r="E31" s="28" t="s">
        <v>35</v>
      </c>
      <c r="F31" s="29" t="s">
        <v>36</v>
      </c>
      <c r="G31" s="5" t="s">
        <v>37</v>
      </c>
      <c r="H31" s="5" t="s">
        <v>38</v>
      </c>
      <c r="I31" s="3"/>
      <c r="J31" s="3"/>
      <c r="K31" s="3"/>
      <c r="L31" s="3"/>
    </row>
    <row r="32" spans="1:12" ht="12.75" hidden="1">
      <c r="A32" s="6" t="s">
        <v>39</v>
      </c>
      <c r="B32" s="6" t="s">
        <v>39</v>
      </c>
      <c r="C32" s="6" t="s">
        <v>39</v>
      </c>
      <c r="D32" s="6" t="s">
        <v>39</v>
      </c>
      <c r="E32" s="6" t="s">
        <v>39</v>
      </c>
      <c r="F32" s="15" t="s">
        <v>39</v>
      </c>
      <c r="G32" s="6" t="s">
        <v>39</v>
      </c>
      <c r="H32" s="6" t="s">
        <v>39</v>
      </c>
      <c r="I32" s="3"/>
      <c r="J32" s="3"/>
      <c r="K32" s="3"/>
      <c r="L32" s="3"/>
    </row>
    <row r="33" spans="1:12" ht="12.75" hidden="1">
      <c r="A33" s="10">
        <v>50</v>
      </c>
      <c r="B33" s="10">
        <f>0.85*A33</f>
        <v>42.5</v>
      </c>
      <c r="C33" s="10">
        <f>0.48*B33</f>
        <v>20.4</v>
      </c>
      <c r="D33" s="10">
        <f>0.08*B33</f>
        <v>3.4</v>
      </c>
      <c r="E33" s="10">
        <f>0.38*A33</f>
        <v>19</v>
      </c>
      <c r="F33" s="30">
        <f>0.06*A33</f>
        <v>3</v>
      </c>
      <c r="G33" s="10">
        <f>0.83*A33</f>
        <v>41.5</v>
      </c>
      <c r="H33" s="31">
        <f>9500*((G33+8)^(1/3))</f>
        <v>34881.24719473732</v>
      </c>
      <c r="I33" s="3"/>
      <c r="J33" s="3"/>
      <c r="K33" s="3"/>
      <c r="L33" s="3"/>
    </row>
    <row r="34" spans="1:12" ht="12.75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 hidden="1">
      <c r="A35" s="3" t="s">
        <v>40</v>
      </c>
      <c r="B35" s="3"/>
      <c r="C35" s="3"/>
      <c r="D35" s="3"/>
      <c r="E35" s="3"/>
      <c r="F35" s="3"/>
      <c r="G35" s="32" t="s">
        <v>41</v>
      </c>
      <c r="H35" s="33"/>
      <c r="I35" s="3"/>
      <c r="J35" s="3"/>
      <c r="K35" s="3"/>
      <c r="L35" s="3"/>
    </row>
    <row r="36" spans="1:12" ht="12.75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7.25" hidden="1">
      <c r="A37" s="5" t="s">
        <v>42</v>
      </c>
      <c r="B37" s="5" t="s">
        <v>43</v>
      </c>
      <c r="C37" s="28" t="s">
        <v>44</v>
      </c>
      <c r="D37" s="28" t="s">
        <v>45</v>
      </c>
      <c r="E37" s="21" t="s">
        <v>46</v>
      </c>
      <c r="F37" s="17"/>
      <c r="G37" s="28" t="s">
        <v>47</v>
      </c>
      <c r="H37" s="28" t="s">
        <v>48</v>
      </c>
      <c r="I37" s="3"/>
      <c r="J37" s="3"/>
      <c r="K37" s="3"/>
      <c r="L37" s="3"/>
    </row>
    <row r="38" spans="1:12" ht="12.75" hidden="1">
      <c r="A38" s="6" t="s">
        <v>39</v>
      </c>
      <c r="B38" s="6" t="s">
        <v>39</v>
      </c>
      <c r="C38" s="6" t="s">
        <v>39</v>
      </c>
      <c r="D38" s="6" t="s">
        <v>39</v>
      </c>
      <c r="E38" s="6" t="s">
        <v>49</v>
      </c>
      <c r="F38" s="18"/>
      <c r="G38" s="6" t="s">
        <v>39</v>
      </c>
      <c r="H38" s="6" t="s">
        <v>39</v>
      </c>
      <c r="I38" s="3"/>
      <c r="J38" s="3"/>
      <c r="K38" s="3"/>
      <c r="L38" s="3"/>
    </row>
    <row r="39" spans="1:12" ht="12.75" hidden="1">
      <c r="A39" s="10">
        <v>1770</v>
      </c>
      <c r="B39" s="10">
        <v>1570</v>
      </c>
      <c r="C39" s="10">
        <f>0.85*B39</f>
        <v>1334.5</v>
      </c>
      <c r="D39" s="10">
        <f>0.6*A39</f>
        <v>1062</v>
      </c>
      <c r="E39" s="34">
        <v>1.2</v>
      </c>
      <c r="F39" s="35"/>
      <c r="G39" s="10">
        <v>215</v>
      </c>
      <c r="H39" s="10">
        <v>175</v>
      </c>
      <c r="I39" s="3"/>
      <c r="J39" s="3"/>
      <c r="K39" s="3"/>
      <c r="L39" s="3"/>
    </row>
    <row r="40" spans="1:12" ht="12.75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2" t="s">
        <v>60</v>
      </c>
      <c r="B41" s="3"/>
      <c r="C41" s="3"/>
      <c r="D41" s="3"/>
      <c r="E41" s="46" t="s">
        <v>63</v>
      </c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14" t="s">
        <v>1</v>
      </c>
      <c r="B43" s="41"/>
      <c r="C43" s="39" t="s">
        <v>61</v>
      </c>
      <c r="D43" s="22"/>
      <c r="E43" s="17"/>
      <c r="F43" s="17"/>
      <c r="G43" s="17"/>
      <c r="H43" s="17"/>
      <c r="I43" s="3"/>
      <c r="J43" s="3"/>
      <c r="K43" s="3"/>
      <c r="L43" s="3"/>
    </row>
    <row r="44" spans="1:12" ht="12.75">
      <c r="A44" s="15" t="s">
        <v>9</v>
      </c>
      <c r="B44" s="42"/>
      <c r="C44" s="40" t="s">
        <v>62</v>
      </c>
      <c r="D44" s="23"/>
      <c r="E44" s="18"/>
      <c r="F44" s="18"/>
      <c r="G44" s="18"/>
      <c r="H44" s="18"/>
      <c r="I44" s="3"/>
      <c r="J44" s="3"/>
      <c r="K44" s="3"/>
      <c r="L44" s="3"/>
    </row>
    <row r="45" spans="1:12" ht="12.75">
      <c r="A45" s="44">
        <f>((C9*I27*1000*1000/E33)-(D9*((C9-E9)^2)/6)*(2*(C9-E9)-3*H9))/((C9*C9*(2*C9-3*H9)/6)-(((C9-E9)^2)*(2*(C9-E9)-3*H9))/6)</f>
        <v>2514.6258825092946</v>
      </c>
      <c r="B45" s="43"/>
      <c r="C45" s="45">
        <f>((E33/(2*C9))*(D9*((C9-E9)^2)+A45*(C9*C9-((C9-E9)^2))))/1000</f>
        <v>16613.36259673641</v>
      </c>
      <c r="D45" s="38"/>
      <c r="E45" s="37"/>
      <c r="F45" s="26"/>
      <c r="G45" s="26"/>
      <c r="H45" s="26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 t="s">
        <v>64</v>
      </c>
      <c r="B48" s="3"/>
      <c r="C48" s="3"/>
      <c r="D48" s="3" t="s">
        <v>79</v>
      </c>
      <c r="E48" s="3"/>
      <c r="F48" s="3"/>
      <c r="G48" s="3"/>
      <c r="H48" s="3" t="s">
        <v>80</v>
      </c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47" t="s">
        <v>65</v>
      </c>
      <c r="E50" s="3"/>
      <c r="F50" s="47" t="s">
        <v>66</v>
      </c>
      <c r="G50" s="3"/>
      <c r="H50" s="47" t="s">
        <v>73</v>
      </c>
      <c r="I50" s="3"/>
      <c r="J50" s="47" t="s">
        <v>74</v>
      </c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7.25">
      <c r="A52" s="14" t="s">
        <v>67</v>
      </c>
      <c r="B52" s="5" t="s">
        <v>68</v>
      </c>
      <c r="C52" s="48"/>
      <c r="D52" s="28" t="s">
        <v>69</v>
      </c>
      <c r="E52" s="17"/>
      <c r="F52" s="28" t="s">
        <v>70</v>
      </c>
      <c r="G52" s="48"/>
      <c r="H52" s="28" t="s">
        <v>75</v>
      </c>
      <c r="I52" s="17"/>
      <c r="J52" s="28" t="s">
        <v>76</v>
      </c>
      <c r="K52" s="3"/>
      <c r="L52" s="3"/>
    </row>
    <row r="53" spans="1:12" ht="12.75">
      <c r="A53" s="15" t="s">
        <v>9</v>
      </c>
      <c r="B53" s="6" t="s">
        <v>9</v>
      </c>
      <c r="C53" s="18"/>
      <c r="D53" s="6" t="s">
        <v>39</v>
      </c>
      <c r="E53" s="18"/>
      <c r="F53" s="6" t="s">
        <v>39</v>
      </c>
      <c r="G53" s="18"/>
      <c r="H53" s="6" t="s">
        <v>39</v>
      </c>
      <c r="I53" s="18"/>
      <c r="J53" s="6" t="s">
        <v>39</v>
      </c>
      <c r="K53" s="3"/>
      <c r="L53" s="3"/>
    </row>
    <row r="54" spans="1:12" ht="12.75">
      <c r="A54" s="36">
        <f>C9-A21</f>
        <v>815.8533897224875</v>
      </c>
      <c r="B54" s="7">
        <f>A21</f>
        <v>1546.9243880552904</v>
      </c>
      <c r="C54" s="49"/>
      <c r="D54" s="50">
        <f>-($E$39*$C$45*1000/$D$13)+($E$39*$C$45*1000*($A$21-$H$9)*$A$54/$F$13)-($H$27*1000*1000*$A$54/$F$13)</f>
        <v>-3.435729237129282</v>
      </c>
      <c r="E54" s="26"/>
      <c r="F54" s="50">
        <f>($E$39*$C$45*1000/$D$13)+($E$39*$C$45*1000*($A$21-$H$9)*$B$54/$F$13)-($H$27*1000*1000*$B$54/$F$13)</f>
        <v>19.04542197345384</v>
      </c>
      <c r="G54" s="49"/>
      <c r="H54" s="50">
        <f>($C$45*1000/$D$13)-($C$45*1000*($A$21-$H$9)*$A$54/$F$13)+($I$27*1000*1000*$A$54/$F$13)</f>
        <v>10.587015415519787</v>
      </c>
      <c r="I54" s="26"/>
      <c r="J54" s="50">
        <f>-($C$45*1000/$D$13)-($C$45*1000*($A$21-$H$9)*$B$54/$F$13)+($I$27*1000*1000*$B$54/$F$13)</f>
        <v>-1.2260276855969927</v>
      </c>
      <c r="K54" s="3"/>
      <c r="L54" s="3"/>
    </row>
    <row r="55" spans="1:12" ht="12.75">
      <c r="A55" s="26"/>
      <c r="B55" s="25"/>
      <c r="C55" s="49"/>
      <c r="D55" s="51" t="s">
        <v>71</v>
      </c>
      <c r="E55" s="26"/>
      <c r="F55" s="51" t="s">
        <v>72</v>
      </c>
      <c r="G55" s="49"/>
      <c r="H55" s="51" t="s">
        <v>77</v>
      </c>
      <c r="I55" s="26"/>
      <c r="J55" s="51" t="s">
        <v>78</v>
      </c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 t="s">
        <v>87</v>
      </c>
      <c r="B57" s="3"/>
      <c r="C57" s="3"/>
      <c r="D57" s="3"/>
      <c r="E57" s="52"/>
      <c r="F57" s="75" t="s">
        <v>163</v>
      </c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52"/>
      <c r="F58" s="52"/>
      <c r="G58" s="3"/>
      <c r="H58" s="3"/>
      <c r="I58" s="3"/>
      <c r="J58" s="3"/>
      <c r="K58" s="3"/>
      <c r="L58" s="3"/>
    </row>
    <row r="59" spans="1:12" ht="15">
      <c r="A59" s="5" t="s">
        <v>88</v>
      </c>
      <c r="B59" s="5" t="s">
        <v>89</v>
      </c>
      <c r="C59" s="3"/>
      <c r="D59" s="5" t="s">
        <v>90</v>
      </c>
      <c r="E59" s="17"/>
      <c r="F59" s="5" t="s">
        <v>164</v>
      </c>
      <c r="G59" s="3"/>
      <c r="H59" s="63" t="s">
        <v>165</v>
      </c>
      <c r="I59" s="3"/>
      <c r="J59" s="3"/>
      <c r="K59" s="3"/>
      <c r="L59" s="3"/>
    </row>
    <row r="60" spans="1:12" ht="12.75">
      <c r="A60" s="15" t="s">
        <v>9</v>
      </c>
      <c r="B60" s="6" t="s">
        <v>9</v>
      </c>
      <c r="C60" s="3"/>
      <c r="D60" s="6" t="s">
        <v>9</v>
      </c>
      <c r="E60" s="18"/>
      <c r="F60" s="6" t="s">
        <v>15</v>
      </c>
      <c r="G60" s="62" t="s">
        <v>166</v>
      </c>
      <c r="H60" s="6"/>
      <c r="I60" s="3"/>
      <c r="J60" s="3"/>
      <c r="K60" s="3"/>
      <c r="L60" s="3"/>
    </row>
    <row r="61" spans="1:12" ht="12.75">
      <c r="A61" s="7">
        <f>F13*(C33-E39*C45*1000/D13)/(B54*E39*C45*1000)</f>
        <v>673.3428759401052</v>
      </c>
      <c r="B61" s="8">
        <f>F13*(D33+E39*C45*1000/D13)/(A54*E39*C45*1000)</f>
        <v>1348.558174051904</v>
      </c>
      <c r="C61" s="3"/>
      <c r="D61" s="9">
        <f>MIN(A61,B61)</f>
        <v>673.3428759401052</v>
      </c>
      <c r="E61" s="26"/>
      <c r="F61" s="9">
        <f>0.001*(C13+B13)</f>
        <v>1008.8705600565844</v>
      </c>
      <c r="G61" s="3"/>
      <c r="H61" s="9">
        <f>F61/201</f>
        <v>5.0192565176944495</v>
      </c>
      <c r="I61" s="3"/>
      <c r="J61" s="3"/>
      <c r="K61" s="3"/>
      <c r="L61" s="3"/>
    </row>
    <row r="62" spans="1:12" ht="12.75">
      <c r="A62" s="3"/>
      <c r="B62" s="3"/>
      <c r="C62" s="3"/>
      <c r="D62" s="3"/>
      <c r="E62" s="26"/>
      <c r="F62" s="51"/>
      <c r="G62" s="3"/>
      <c r="H62" s="3"/>
      <c r="I62" s="3"/>
      <c r="J62" s="3"/>
      <c r="K62" s="3"/>
      <c r="L62" s="3"/>
    </row>
    <row r="63" spans="1:12" ht="12.75">
      <c r="A63" s="5" t="s">
        <v>91</v>
      </c>
      <c r="B63" s="5" t="s">
        <v>92</v>
      </c>
      <c r="C63" s="3"/>
      <c r="D63" s="5" t="s">
        <v>93</v>
      </c>
      <c r="E63" s="3"/>
      <c r="F63" s="3"/>
      <c r="G63" s="3"/>
      <c r="H63" s="3"/>
      <c r="I63" s="3"/>
      <c r="J63" s="3"/>
      <c r="K63" s="3"/>
      <c r="L63" s="3"/>
    </row>
    <row r="64" spans="1:12" ht="12.75">
      <c r="A64" s="15" t="s">
        <v>9</v>
      </c>
      <c r="B64" s="6" t="s">
        <v>9</v>
      </c>
      <c r="C64" s="3"/>
      <c r="D64" s="6" t="s">
        <v>9</v>
      </c>
      <c r="E64" s="3"/>
      <c r="F64" s="3"/>
      <c r="G64" s="3"/>
      <c r="H64" s="3"/>
      <c r="I64" s="3"/>
      <c r="J64" s="3"/>
      <c r="K64" s="3"/>
      <c r="L64" s="3"/>
    </row>
    <row r="65" spans="1:12" ht="12.75">
      <c r="A65" s="7">
        <f>F13*(E33-C45*1000/D13)/(B54*C45*1000)</f>
        <v>812.9641085407824</v>
      </c>
      <c r="B65" s="8">
        <f>F13*(F33+C45*1000/D13)/(B54*C45*1000)</f>
        <v>722.8694500666659</v>
      </c>
      <c r="C65" s="3"/>
      <c r="D65" s="9">
        <f>MIN(A65,B65)</f>
        <v>722.8694500666659</v>
      </c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53" t="s">
        <v>94</v>
      </c>
      <c r="B67" s="26"/>
      <c r="C67" s="3"/>
      <c r="D67" s="37"/>
      <c r="E67" s="3"/>
      <c r="F67" s="3"/>
      <c r="G67" s="3" t="s">
        <v>95</v>
      </c>
      <c r="H67" s="3"/>
      <c r="I67" s="3" t="s">
        <v>171</v>
      </c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5" t="s">
        <v>96</v>
      </c>
      <c r="B69" s="5" t="s">
        <v>97</v>
      </c>
      <c r="C69" s="5" t="s">
        <v>98</v>
      </c>
      <c r="D69" s="5" t="s">
        <v>99</v>
      </c>
      <c r="E69" s="5" t="s">
        <v>5</v>
      </c>
      <c r="F69" s="3"/>
      <c r="G69" s="5" t="s">
        <v>100</v>
      </c>
      <c r="H69" s="3"/>
      <c r="I69" s="5" t="s">
        <v>101</v>
      </c>
      <c r="J69" s="3"/>
      <c r="K69" s="3"/>
      <c r="L69" s="3"/>
    </row>
    <row r="70" spans="1:12" ht="12.75">
      <c r="A70" s="23" t="s">
        <v>11</v>
      </c>
      <c r="B70" s="42" t="s">
        <v>59</v>
      </c>
      <c r="C70" s="42" t="s">
        <v>59</v>
      </c>
      <c r="D70" s="42" t="s">
        <v>9</v>
      </c>
      <c r="E70" s="42" t="s">
        <v>9</v>
      </c>
      <c r="F70" s="3"/>
      <c r="G70" s="42" t="s">
        <v>9</v>
      </c>
      <c r="H70" s="3"/>
      <c r="I70" s="6" t="s">
        <v>9</v>
      </c>
      <c r="J70" s="3"/>
      <c r="K70" s="3"/>
      <c r="L70" s="3"/>
    </row>
    <row r="71" spans="1:12" ht="12.75">
      <c r="A71" s="54">
        <v>0</v>
      </c>
      <c r="B71" s="54">
        <f>0.5*$A$27*A71*($C$5-A71)</f>
        <v>0</v>
      </c>
      <c r="C71" s="54">
        <f>0.5*($E$27+$F$27)*A71*($C$5-A71)</f>
        <v>0</v>
      </c>
      <c r="D71" s="66">
        <f>1000*B71/($E$39*$C$45)</f>
        <v>0</v>
      </c>
      <c r="E71" s="55">
        <f>(1000*C71/$C$45)-($D$61+$D$65)</f>
        <v>-1396.212326006771</v>
      </c>
      <c r="F71" s="59"/>
      <c r="G71" s="55">
        <f>4*$I$71*A71*1000*(1-A71*1000/($C$5*1000))/($C$5*1000)</f>
        <v>0</v>
      </c>
      <c r="H71" s="3"/>
      <c r="I71" s="8">
        <f>A21-H9</f>
        <v>1251.5771658330682</v>
      </c>
      <c r="J71" s="3"/>
      <c r="K71" s="3"/>
      <c r="L71" s="3"/>
    </row>
    <row r="72" spans="1:12" ht="12.75">
      <c r="A72" s="56">
        <f>A71+0.5</f>
        <v>0.5</v>
      </c>
      <c r="B72" s="56">
        <f>0.5*$A$27*A72*($C$5-A72)</f>
        <v>629.1995269675981</v>
      </c>
      <c r="C72" s="56">
        <f>0.5*($E$27+$F$27)*A72*($C$5-A72)</f>
        <v>1340.2245269675982</v>
      </c>
      <c r="D72" s="38">
        <f>1000*B72/($E$39*$C$45)</f>
        <v>31.560915864357707</v>
      </c>
      <c r="E72" s="43">
        <f aca="true" t="shared" si="0" ref="E72:E135">(1000*C72/$C$45)-($D$61+$D$65)</f>
        <v>-1315.540847300174</v>
      </c>
      <c r="F72" s="59"/>
      <c r="G72" s="43">
        <f aca="true" t="shared" si="1" ref="G72:G136">4*$I$71*A72*1000*(1-A72*1000/($C$5*1000))/($C$5*1000)</f>
        <v>60.11973119429314</v>
      </c>
      <c r="H72" s="3"/>
      <c r="I72" s="3"/>
      <c r="J72" s="3"/>
      <c r="K72" s="3"/>
      <c r="L72" s="3"/>
    </row>
    <row r="73" spans="1:12" ht="12.75">
      <c r="A73" s="56">
        <f aca="true" t="shared" si="2" ref="A73:A131">A72+0.5</f>
        <v>1</v>
      </c>
      <c r="B73" s="56">
        <f aca="true" t="shared" si="3" ref="B73:B131">0.5*$A$27*A73*($C$5-A73)</f>
        <v>1242.9129715584402</v>
      </c>
      <c r="C73" s="56">
        <f aca="true" t="shared" si="4" ref="C73:C131">0.5*($E$27+$F$27)*A73*($C$5-A73)</f>
        <v>2647.46297155844</v>
      </c>
      <c r="D73" s="38">
        <f aca="true" t="shared" si="5" ref="D73:D131">1000*B73/($E$39*$C$45)</f>
        <v>62.34504325063622</v>
      </c>
      <c r="E73" s="43">
        <f t="shared" si="0"/>
        <v>-1236.8548836983418</v>
      </c>
      <c r="F73" s="59"/>
      <c r="G73" s="43">
        <f t="shared" si="1"/>
        <v>118.75977419773486</v>
      </c>
      <c r="H73" s="3"/>
      <c r="I73" s="3"/>
      <c r="J73" s="3"/>
      <c r="K73" s="3"/>
      <c r="L73" s="3"/>
    </row>
    <row r="74" spans="1:12" ht="12.75">
      <c r="A74" s="56">
        <f t="shared" si="2"/>
        <v>1.5</v>
      </c>
      <c r="B74" s="56">
        <f t="shared" si="3"/>
        <v>1841.1403337725262</v>
      </c>
      <c r="C74" s="56">
        <f t="shared" si="4"/>
        <v>3921.7153337725263</v>
      </c>
      <c r="D74" s="38">
        <f t="shared" si="5"/>
        <v>92.35238215883554</v>
      </c>
      <c r="E74" s="43">
        <f t="shared" si="0"/>
        <v>-1160.1544352012743</v>
      </c>
      <c r="F74" s="59"/>
      <c r="G74" s="43">
        <f t="shared" si="1"/>
        <v>175.92012901032516</v>
      </c>
      <c r="H74" s="3"/>
      <c r="I74" s="3"/>
      <c r="J74" s="3"/>
      <c r="K74" s="3"/>
      <c r="L74" s="3"/>
    </row>
    <row r="75" spans="1:12" ht="12.75">
      <c r="A75" s="56">
        <f t="shared" si="2"/>
        <v>2</v>
      </c>
      <c r="B75" s="56">
        <f t="shared" si="3"/>
        <v>2423.8816136098562</v>
      </c>
      <c r="C75" s="56">
        <f t="shared" si="4"/>
        <v>5162.981613609856</v>
      </c>
      <c r="D75" s="38">
        <f t="shared" si="5"/>
        <v>121.58293258895567</v>
      </c>
      <c r="E75" s="43">
        <f t="shared" si="0"/>
        <v>-1085.439501808972</v>
      </c>
      <c r="F75" s="59"/>
      <c r="G75" s="43">
        <f t="shared" si="1"/>
        <v>231.60079563206403</v>
      </c>
      <c r="H75" s="3"/>
      <c r="I75" s="3"/>
      <c r="J75" s="3"/>
      <c r="K75" s="3"/>
      <c r="L75" s="3"/>
    </row>
    <row r="76" spans="1:12" ht="12.75">
      <c r="A76" s="56">
        <f t="shared" si="2"/>
        <v>2.5</v>
      </c>
      <c r="B76" s="56">
        <f t="shared" si="3"/>
        <v>2991.13681107043</v>
      </c>
      <c r="C76" s="56">
        <f t="shared" si="4"/>
        <v>6371.26181107043</v>
      </c>
      <c r="D76" s="38">
        <f t="shared" si="5"/>
        <v>150.0366945409966</v>
      </c>
      <c r="E76" s="43">
        <f t="shared" si="0"/>
        <v>-1012.7100835214343</v>
      </c>
      <c r="F76" s="59"/>
      <c r="G76" s="43">
        <f t="shared" si="1"/>
        <v>285.8017740629515</v>
      </c>
      <c r="H76" s="3"/>
      <c r="I76" s="3"/>
      <c r="J76" s="3"/>
      <c r="K76" s="3"/>
      <c r="L76" s="3"/>
    </row>
    <row r="77" spans="1:12" ht="12.75">
      <c r="A77" s="56">
        <f t="shared" si="2"/>
        <v>3</v>
      </c>
      <c r="B77" s="56">
        <f t="shared" si="3"/>
        <v>3542.905926154248</v>
      </c>
      <c r="C77" s="56">
        <f t="shared" si="4"/>
        <v>7546.5559261542485</v>
      </c>
      <c r="D77" s="38">
        <f t="shared" si="5"/>
        <v>177.7136680149583</v>
      </c>
      <c r="E77" s="43">
        <f t="shared" si="0"/>
        <v>-941.9661803386616</v>
      </c>
      <c r="F77" s="59"/>
      <c r="G77" s="43">
        <f t="shared" si="1"/>
        <v>338.5230643029876</v>
      </c>
      <c r="H77" s="3"/>
      <c r="I77" s="3"/>
      <c r="J77" s="3"/>
      <c r="K77" s="3"/>
      <c r="L77" s="3"/>
    </row>
    <row r="78" spans="1:12" ht="12.75">
      <c r="A78" s="56">
        <f t="shared" si="2"/>
        <v>3.5</v>
      </c>
      <c r="B78" s="56">
        <f t="shared" si="3"/>
        <v>4079.18895886131</v>
      </c>
      <c r="C78" s="56">
        <f t="shared" si="4"/>
        <v>8688.863958861311</v>
      </c>
      <c r="D78" s="38">
        <f t="shared" si="5"/>
        <v>204.61385301084087</v>
      </c>
      <c r="E78" s="43">
        <f t="shared" si="0"/>
        <v>-873.2077922606536</v>
      </c>
      <c r="F78" s="59"/>
      <c r="G78" s="43">
        <f t="shared" si="1"/>
        <v>389.7646663521722</v>
      </c>
      <c r="H78" s="3"/>
      <c r="I78" s="3"/>
      <c r="J78" s="3"/>
      <c r="K78" s="3"/>
      <c r="L78" s="3"/>
    </row>
    <row r="79" spans="1:12" ht="12.75">
      <c r="A79" s="56">
        <f t="shared" si="2"/>
        <v>4</v>
      </c>
      <c r="B79" s="56">
        <f t="shared" si="3"/>
        <v>4599.985909191616</v>
      </c>
      <c r="C79" s="56">
        <f t="shared" si="4"/>
        <v>9798.185909191616</v>
      </c>
      <c r="D79" s="38">
        <f t="shared" si="5"/>
        <v>230.7372495286442</v>
      </c>
      <c r="E79" s="43">
        <f t="shared" si="0"/>
        <v>-806.4349192874108</v>
      </c>
      <c r="F79" s="59"/>
      <c r="G79" s="43">
        <f t="shared" si="1"/>
        <v>439.5265802105054</v>
      </c>
      <c r="H79" s="3"/>
      <c r="I79" s="3"/>
      <c r="J79" s="3"/>
      <c r="K79" s="3"/>
      <c r="L79" s="3"/>
    </row>
    <row r="80" spans="1:12" ht="12.75">
      <c r="A80" s="56">
        <f t="shared" si="2"/>
        <v>4.5</v>
      </c>
      <c r="B80" s="56">
        <f t="shared" si="3"/>
        <v>5105.296777145165</v>
      </c>
      <c r="C80" s="56">
        <f t="shared" si="4"/>
        <v>10874.521777145166</v>
      </c>
      <c r="D80" s="38">
        <f t="shared" si="5"/>
        <v>256.08385756836833</v>
      </c>
      <c r="E80" s="43">
        <f t="shared" si="0"/>
        <v>-741.6475614189327</v>
      </c>
      <c r="F80" s="59"/>
      <c r="G80" s="43">
        <f t="shared" si="1"/>
        <v>487.80880587798714</v>
      </c>
      <c r="H80" s="3"/>
      <c r="I80" s="3"/>
      <c r="J80" s="3"/>
      <c r="K80" s="3"/>
      <c r="L80" s="3"/>
    </row>
    <row r="81" spans="1:12" ht="12.75">
      <c r="A81" s="56">
        <f t="shared" si="2"/>
        <v>5</v>
      </c>
      <c r="B81" s="56">
        <f t="shared" si="3"/>
        <v>5595.121562721959</v>
      </c>
      <c r="C81" s="56">
        <f t="shared" si="4"/>
        <v>11917.871562721959</v>
      </c>
      <c r="D81" s="38">
        <f t="shared" si="5"/>
        <v>280.6536771300133</v>
      </c>
      <c r="E81" s="43">
        <f t="shared" si="0"/>
        <v>-678.8457186552197</v>
      </c>
      <c r="F81" s="59"/>
      <c r="G81" s="43">
        <f t="shared" si="1"/>
        <v>534.6113433546177</v>
      </c>
      <c r="H81" s="3"/>
      <c r="I81" s="3"/>
      <c r="J81" s="3"/>
      <c r="K81" s="3"/>
      <c r="L81" s="3"/>
    </row>
    <row r="82" spans="1:12" ht="12.75">
      <c r="A82" s="56">
        <f t="shared" si="2"/>
        <v>5.5</v>
      </c>
      <c r="B82" s="56">
        <f t="shared" si="3"/>
        <v>6069.460265921997</v>
      </c>
      <c r="C82" s="56">
        <f t="shared" si="4"/>
        <v>12928.235265921998</v>
      </c>
      <c r="D82" s="38">
        <f t="shared" si="5"/>
        <v>304.44670821357903</v>
      </c>
      <c r="E82" s="43">
        <f t="shared" si="0"/>
        <v>-618.0293909962713</v>
      </c>
      <c r="F82" s="59"/>
      <c r="G82" s="43">
        <f t="shared" si="1"/>
        <v>579.9341926403965</v>
      </c>
      <c r="H82" s="3"/>
      <c r="I82" s="3"/>
      <c r="J82" s="3"/>
      <c r="K82" s="3"/>
      <c r="L82" s="3"/>
    </row>
    <row r="83" spans="1:12" ht="12.75">
      <c r="A83" s="56">
        <f t="shared" si="2"/>
        <v>6</v>
      </c>
      <c r="B83" s="56">
        <f t="shared" si="3"/>
        <v>6528.312886745279</v>
      </c>
      <c r="C83" s="56">
        <f t="shared" si="4"/>
        <v>13905.612886745279</v>
      </c>
      <c r="D83" s="38">
        <f t="shared" si="5"/>
        <v>327.4629508190656</v>
      </c>
      <c r="E83" s="43">
        <f t="shared" si="0"/>
        <v>-559.1985784420878</v>
      </c>
      <c r="F83" s="59"/>
      <c r="G83" s="43">
        <f t="shared" si="1"/>
        <v>623.7773537353241</v>
      </c>
      <c r="H83" s="3"/>
      <c r="I83" s="3"/>
      <c r="J83" s="3"/>
      <c r="K83" s="3"/>
      <c r="L83" s="3"/>
    </row>
    <row r="84" spans="1:12" ht="12.75">
      <c r="A84" s="56">
        <f t="shared" si="2"/>
        <v>6.5</v>
      </c>
      <c r="B84" s="56">
        <f t="shared" si="3"/>
        <v>6971.679425191804</v>
      </c>
      <c r="C84" s="56">
        <f t="shared" si="4"/>
        <v>14850.004425191804</v>
      </c>
      <c r="D84" s="38">
        <f t="shared" si="5"/>
        <v>349.70240494647294</v>
      </c>
      <c r="E84" s="43">
        <f t="shared" si="0"/>
        <v>-502.3532809926693</v>
      </c>
      <c r="F84" s="59"/>
      <c r="G84" s="43">
        <f t="shared" si="1"/>
        <v>666.1408266394003</v>
      </c>
      <c r="H84" s="3"/>
      <c r="I84" s="3"/>
      <c r="J84" s="3"/>
      <c r="K84" s="3"/>
      <c r="L84" s="3"/>
    </row>
    <row r="85" spans="1:12" ht="12.75">
      <c r="A85" s="56">
        <f t="shared" si="2"/>
        <v>7</v>
      </c>
      <c r="B85" s="56">
        <f t="shared" si="3"/>
        <v>7399.5598812615735</v>
      </c>
      <c r="C85" s="56">
        <f t="shared" si="4"/>
        <v>15761.409881261576</v>
      </c>
      <c r="D85" s="38">
        <f t="shared" si="5"/>
        <v>371.1650705958011</v>
      </c>
      <c r="E85" s="43">
        <f t="shared" si="0"/>
        <v>-447.4934986480155</v>
      </c>
      <c r="F85" s="59"/>
      <c r="G85" s="43">
        <f t="shared" si="1"/>
        <v>707.0246113526248</v>
      </c>
      <c r="H85" s="3"/>
      <c r="I85" s="3"/>
      <c r="J85" s="3"/>
      <c r="K85" s="3"/>
      <c r="L85" s="3"/>
    </row>
    <row r="86" spans="1:12" ht="12.75">
      <c r="A86" s="56">
        <f t="shared" si="2"/>
        <v>7.5</v>
      </c>
      <c r="B86" s="56">
        <f t="shared" si="3"/>
        <v>7811.954254954588</v>
      </c>
      <c r="C86" s="56">
        <f t="shared" si="4"/>
        <v>16639.829254954588</v>
      </c>
      <c r="D86" s="38">
        <f t="shared" si="5"/>
        <v>391.8509477670501</v>
      </c>
      <c r="E86" s="43">
        <f t="shared" si="0"/>
        <v>-394.6192314081269</v>
      </c>
      <c r="F86" s="59"/>
      <c r="G86" s="43">
        <f t="shared" si="1"/>
        <v>746.4287078749983</v>
      </c>
      <c r="H86" s="3"/>
      <c r="I86" s="3"/>
      <c r="J86" s="3"/>
      <c r="K86" s="3"/>
      <c r="L86" s="3"/>
    </row>
    <row r="87" spans="1:12" ht="12.75">
      <c r="A87" s="56">
        <f t="shared" si="2"/>
        <v>8</v>
      </c>
      <c r="B87" s="56">
        <f t="shared" si="3"/>
        <v>8208.862546270844</v>
      </c>
      <c r="C87" s="56">
        <f t="shared" si="4"/>
        <v>17485.262546270846</v>
      </c>
      <c r="D87" s="38">
        <f t="shared" si="5"/>
        <v>411.7600364602199</v>
      </c>
      <c r="E87" s="43">
        <f t="shared" si="0"/>
        <v>-343.73047927300286</v>
      </c>
      <c r="F87" s="59"/>
      <c r="G87" s="43">
        <f t="shared" si="1"/>
        <v>784.3531162065199</v>
      </c>
      <c r="H87" s="3"/>
      <c r="I87" s="3"/>
      <c r="J87" s="3"/>
      <c r="K87" s="3"/>
      <c r="L87" s="3"/>
    </row>
    <row r="88" spans="1:12" ht="12.75">
      <c r="A88" s="56">
        <f t="shared" si="2"/>
        <v>8.5</v>
      </c>
      <c r="B88" s="56">
        <f t="shared" si="3"/>
        <v>8590.284755210345</v>
      </c>
      <c r="C88" s="56">
        <f t="shared" si="4"/>
        <v>18297.709755210348</v>
      </c>
      <c r="D88" s="38">
        <f t="shared" si="5"/>
        <v>430.89233667531045</v>
      </c>
      <c r="E88" s="43">
        <f t="shared" si="0"/>
        <v>-294.82724224264393</v>
      </c>
      <c r="F88" s="59"/>
      <c r="G88" s="43">
        <f t="shared" si="1"/>
        <v>820.7978363471904</v>
      </c>
      <c r="H88" s="3"/>
      <c r="I88" s="3"/>
      <c r="J88" s="3"/>
      <c r="K88" s="3"/>
      <c r="L88" s="3"/>
    </row>
    <row r="89" spans="1:12" ht="12.75">
      <c r="A89" s="56">
        <f t="shared" si="2"/>
        <v>9</v>
      </c>
      <c r="B89" s="56">
        <f t="shared" si="3"/>
        <v>8956.220881773092</v>
      </c>
      <c r="C89" s="56">
        <f t="shared" si="4"/>
        <v>19077.17088177309</v>
      </c>
      <c r="D89" s="38">
        <f t="shared" si="5"/>
        <v>449.2478484123219</v>
      </c>
      <c r="E89" s="43">
        <f t="shared" si="0"/>
        <v>-247.90952031704978</v>
      </c>
      <c r="F89" s="59"/>
      <c r="G89" s="43">
        <f t="shared" si="1"/>
        <v>855.7628682970095</v>
      </c>
      <c r="H89" s="3"/>
      <c r="I89" s="3"/>
      <c r="J89" s="3"/>
      <c r="K89" s="3"/>
      <c r="L89" s="3"/>
    </row>
    <row r="90" spans="1:12" ht="12.75">
      <c r="A90" s="56">
        <f t="shared" si="2"/>
        <v>9.5</v>
      </c>
      <c r="B90" s="56">
        <f t="shared" si="3"/>
        <v>9306.67092595908</v>
      </c>
      <c r="C90" s="56">
        <f t="shared" si="4"/>
        <v>19823.64592595908</v>
      </c>
      <c r="D90" s="38">
        <f t="shared" si="5"/>
        <v>466.82657167125404</v>
      </c>
      <c r="E90" s="43">
        <f t="shared" si="0"/>
        <v>-202.97731349622063</v>
      </c>
      <c r="F90" s="59"/>
      <c r="G90" s="43">
        <f t="shared" si="1"/>
        <v>889.2482120559772</v>
      </c>
      <c r="H90" s="3"/>
      <c r="I90" s="3"/>
      <c r="J90" s="3"/>
      <c r="K90" s="3"/>
      <c r="L90" s="3"/>
    </row>
    <row r="91" spans="1:12" ht="12.75">
      <c r="A91" s="56">
        <f t="shared" si="2"/>
        <v>10</v>
      </c>
      <c r="B91" s="56">
        <f t="shared" si="3"/>
        <v>9641.634887768314</v>
      </c>
      <c r="C91" s="56">
        <f t="shared" si="4"/>
        <v>20537.134887768312</v>
      </c>
      <c r="D91" s="38">
        <f t="shared" si="5"/>
        <v>483.628506452107</v>
      </c>
      <c r="E91" s="43">
        <f t="shared" si="0"/>
        <v>-160.03062178015625</v>
      </c>
      <c r="F91" s="59"/>
      <c r="G91" s="43">
        <f t="shared" si="1"/>
        <v>921.2538676240935</v>
      </c>
      <c r="H91" s="3"/>
      <c r="I91" s="3"/>
      <c r="J91" s="3"/>
      <c r="K91" s="3"/>
      <c r="L91" s="3"/>
    </row>
    <row r="92" spans="1:12" ht="12.75">
      <c r="A92" s="56">
        <f t="shared" si="2"/>
        <v>10.5</v>
      </c>
      <c r="B92" s="56">
        <f t="shared" si="3"/>
        <v>9961.112767200791</v>
      </c>
      <c r="C92" s="56">
        <f t="shared" si="4"/>
        <v>21217.637767200795</v>
      </c>
      <c r="D92" s="38">
        <f t="shared" si="5"/>
        <v>499.6536527548809</v>
      </c>
      <c r="E92" s="43">
        <f t="shared" si="0"/>
        <v>-119.06944516885665</v>
      </c>
      <c r="F92" s="59"/>
      <c r="G92" s="43">
        <f t="shared" si="1"/>
        <v>951.779835001358</v>
      </c>
      <c r="H92" s="3"/>
      <c r="I92" s="3"/>
      <c r="J92" s="3"/>
      <c r="K92" s="3"/>
      <c r="L92" s="3"/>
    </row>
    <row r="93" spans="1:12" ht="12.75">
      <c r="A93" s="56">
        <f t="shared" si="2"/>
        <v>11</v>
      </c>
      <c r="B93" s="56">
        <f t="shared" si="3"/>
        <v>10265.104564256513</v>
      </c>
      <c r="C93" s="56">
        <f t="shared" si="4"/>
        <v>21865.154564256514</v>
      </c>
      <c r="D93" s="38">
        <f t="shared" si="5"/>
        <v>514.9020105795755</v>
      </c>
      <c r="E93" s="43">
        <f t="shared" si="0"/>
        <v>-80.09378366232181</v>
      </c>
      <c r="F93" s="59"/>
      <c r="G93" s="43">
        <f t="shared" si="1"/>
        <v>980.8261141877715</v>
      </c>
      <c r="H93" s="3"/>
      <c r="I93" s="3"/>
      <c r="J93" s="3"/>
      <c r="K93" s="3"/>
      <c r="L93" s="3"/>
    </row>
    <row r="94" spans="1:12" ht="12.75">
      <c r="A94" s="56">
        <f t="shared" si="2"/>
        <v>11.5</v>
      </c>
      <c r="B94" s="56">
        <f t="shared" si="3"/>
        <v>10553.610278935479</v>
      </c>
      <c r="C94" s="56">
        <f t="shared" si="4"/>
        <v>22479.685278935478</v>
      </c>
      <c r="D94" s="38">
        <f t="shared" si="5"/>
        <v>529.3735799261909</v>
      </c>
      <c r="E94" s="43">
        <f t="shared" si="0"/>
        <v>-43.10363726055243</v>
      </c>
      <c r="F94" s="59"/>
      <c r="G94" s="43">
        <f t="shared" si="1"/>
        <v>1008.3927051833334</v>
      </c>
      <c r="H94" s="3"/>
      <c r="I94" s="3"/>
      <c r="J94" s="3"/>
      <c r="K94" s="3"/>
      <c r="L94" s="3"/>
    </row>
    <row r="95" spans="1:12" ht="12.75">
      <c r="A95" s="56">
        <f t="shared" si="2"/>
        <v>12</v>
      </c>
      <c r="B95" s="56">
        <f t="shared" si="3"/>
        <v>10826.629911237687</v>
      </c>
      <c r="C95" s="56">
        <f t="shared" si="4"/>
        <v>23061.22991123769</v>
      </c>
      <c r="D95" s="38">
        <f t="shared" si="5"/>
        <v>543.0683607947271</v>
      </c>
      <c r="E95" s="43">
        <f t="shared" si="0"/>
        <v>-8.09900596354737</v>
      </c>
      <c r="F95" s="59"/>
      <c r="G95" s="43">
        <f t="shared" si="1"/>
        <v>1034.4796079880439</v>
      </c>
      <c r="H95" s="3"/>
      <c r="I95" s="3"/>
      <c r="J95" s="3"/>
      <c r="K95" s="3"/>
      <c r="L95" s="3"/>
    </row>
    <row r="96" spans="1:12" ht="12.75">
      <c r="A96" s="56">
        <f t="shared" si="2"/>
        <v>12.5</v>
      </c>
      <c r="B96" s="56">
        <f t="shared" si="3"/>
        <v>11084.16346116314</v>
      </c>
      <c r="C96" s="56">
        <f t="shared" si="4"/>
        <v>23609.78846116314</v>
      </c>
      <c r="D96" s="38">
        <f t="shared" si="5"/>
        <v>555.986353185184</v>
      </c>
      <c r="E96" s="43">
        <f t="shared" si="0"/>
        <v>24.920110228692465</v>
      </c>
      <c r="F96" s="59"/>
      <c r="G96" s="43">
        <f t="shared" si="1"/>
        <v>1059.086822601903</v>
      </c>
      <c r="H96" s="3"/>
      <c r="I96" s="3"/>
      <c r="J96" s="3"/>
      <c r="K96" s="3"/>
      <c r="L96" s="3"/>
    </row>
    <row r="97" spans="1:12" ht="12.75">
      <c r="A97" s="56">
        <f t="shared" si="2"/>
        <v>13</v>
      </c>
      <c r="B97" s="56">
        <f t="shared" si="3"/>
        <v>11326.210928711836</v>
      </c>
      <c r="C97" s="56">
        <f t="shared" si="4"/>
        <v>24125.360928711838</v>
      </c>
      <c r="D97" s="38">
        <f t="shared" si="5"/>
        <v>568.127557097562</v>
      </c>
      <c r="E97" s="43">
        <f t="shared" si="0"/>
        <v>55.953711316167755</v>
      </c>
      <c r="F97" s="59"/>
      <c r="G97" s="43">
        <f t="shared" si="1"/>
        <v>1082.2143490249107</v>
      </c>
      <c r="H97" s="3"/>
      <c r="I97" s="3"/>
      <c r="J97" s="3"/>
      <c r="K97" s="3"/>
      <c r="L97" s="3"/>
    </row>
    <row r="98" spans="1:12" ht="12.75">
      <c r="A98" s="56">
        <f t="shared" si="2"/>
        <v>13.5</v>
      </c>
      <c r="B98" s="56">
        <f t="shared" si="3"/>
        <v>11552.77231388378</v>
      </c>
      <c r="C98" s="56">
        <f t="shared" si="4"/>
        <v>24607.94731388378</v>
      </c>
      <c r="D98" s="38">
        <f t="shared" si="5"/>
        <v>579.4919725318606</v>
      </c>
      <c r="E98" s="43">
        <f t="shared" si="0"/>
        <v>85.00179729887782</v>
      </c>
      <c r="F98" s="59"/>
      <c r="G98" s="43">
        <f t="shared" si="1"/>
        <v>1103.862187257067</v>
      </c>
      <c r="H98" s="3"/>
      <c r="I98" s="3"/>
      <c r="J98" s="3"/>
      <c r="K98" s="3"/>
      <c r="L98" s="3"/>
    </row>
    <row r="99" spans="1:12" ht="12.75">
      <c r="A99" s="56">
        <f t="shared" si="2"/>
        <v>14</v>
      </c>
      <c r="B99" s="56">
        <f t="shared" si="3"/>
        <v>11763.847616678962</v>
      </c>
      <c r="C99" s="56">
        <f t="shared" si="4"/>
        <v>25057.547616678967</v>
      </c>
      <c r="D99" s="38">
        <f t="shared" si="5"/>
        <v>590.07959948808</v>
      </c>
      <c r="E99" s="43">
        <f t="shared" si="0"/>
        <v>112.06436817682334</v>
      </c>
      <c r="F99" s="59"/>
      <c r="G99" s="43">
        <f t="shared" si="1"/>
        <v>1124.0303372983717</v>
      </c>
      <c r="H99" s="3"/>
      <c r="I99" s="3"/>
      <c r="J99" s="3"/>
      <c r="K99" s="3"/>
      <c r="L99" s="3"/>
    </row>
    <row r="100" spans="1:12" ht="12.75">
      <c r="A100" s="56">
        <f t="shared" si="2"/>
        <v>14.5</v>
      </c>
      <c r="B100" s="56">
        <f t="shared" si="3"/>
        <v>11959.436837097392</v>
      </c>
      <c r="C100" s="56">
        <f t="shared" si="4"/>
        <v>25474.161837097396</v>
      </c>
      <c r="D100" s="38">
        <f t="shared" si="5"/>
        <v>599.8904379662202</v>
      </c>
      <c r="E100" s="43">
        <f t="shared" si="0"/>
        <v>137.14142395000385</v>
      </c>
      <c r="F100" s="59"/>
      <c r="G100" s="43">
        <f t="shared" si="1"/>
        <v>1142.7187991488252</v>
      </c>
      <c r="H100" s="3"/>
      <c r="I100" s="3"/>
      <c r="J100" s="3"/>
      <c r="K100" s="3"/>
      <c r="L100" s="3"/>
    </row>
    <row r="101" spans="1:12" ht="12.75">
      <c r="A101" s="56">
        <f t="shared" si="2"/>
        <v>15</v>
      </c>
      <c r="B101" s="56">
        <f t="shared" si="3"/>
        <v>12139.539975139065</v>
      </c>
      <c r="C101" s="56">
        <f t="shared" si="4"/>
        <v>25857.789975139065</v>
      </c>
      <c r="D101" s="38">
        <f t="shared" si="5"/>
        <v>608.9244879662813</v>
      </c>
      <c r="E101" s="43">
        <f t="shared" si="0"/>
        <v>160.23296461841915</v>
      </c>
      <c r="F101" s="59"/>
      <c r="G101" s="43">
        <f t="shared" si="1"/>
        <v>1159.9275728084274</v>
      </c>
      <c r="H101" s="3"/>
      <c r="I101" s="3"/>
      <c r="J101" s="3"/>
      <c r="K101" s="3"/>
      <c r="L101" s="3"/>
    </row>
    <row r="102" spans="1:12" ht="12.75">
      <c r="A102" s="56">
        <f t="shared" si="2"/>
        <v>15.5</v>
      </c>
      <c r="B102" s="56">
        <f t="shared" si="3"/>
        <v>12304.15703080398</v>
      </c>
      <c r="C102" s="56">
        <f t="shared" si="4"/>
        <v>26208.432030803982</v>
      </c>
      <c r="D102" s="38">
        <f t="shared" si="5"/>
        <v>617.1817494882631</v>
      </c>
      <c r="E102" s="43">
        <f t="shared" si="0"/>
        <v>181.3389901820699</v>
      </c>
      <c r="F102" s="59"/>
      <c r="G102" s="43">
        <f t="shared" si="1"/>
        <v>1175.6566582771777</v>
      </c>
      <c r="H102" s="3"/>
      <c r="I102" s="3"/>
      <c r="J102" s="3"/>
      <c r="K102" s="3"/>
      <c r="L102" s="3"/>
    </row>
    <row r="103" spans="1:12" ht="12.75">
      <c r="A103" s="56">
        <f t="shared" si="2"/>
        <v>16</v>
      </c>
      <c r="B103" s="56">
        <f t="shared" si="3"/>
        <v>12453.288004092143</v>
      </c>
      <c r="C103" s="56">
        <f t="shared" si="4"/>
        <v>26526.088004092144</v>
      </c>
      <c r="D103" s="38">
        <f t="shared" si="5"/>
        <v>624.6622225321657</v>
      </c>
      <c r="E103" s="43">
        <f t="shared" si="0"/>
        <v>200.45950064095564</v>
      </c>
      <c r="F103" s="59"/>
      <c r="G103" s="43">
        <f t="shared" si="1"/>
        <v>1189.9060555550766</v>
      </c>
      <c r="H103" s="3"/>
      <c r="I103" s="3"/>
      <c r="J103" s="3"/>
      <c r="K103" s="3"/>
      <c r="L103" s="3"/>
    </row>
    <row r="104" spans="1:12" ht="12.75">
      <c r="A104" s="56">
        <f t="shared" si="2"/>
        <v>16.5</v>
      </c>
      <c r="B104" s="56">
        <f t="shared" si="3"/>
        <v>12586.932895003547</v>
      </c>
      <c r="C104" s="56">
        <f t="shared" si="4"/>
        <v>26810.75789500355</v>
      </c>
      <c r="D104" s="38">
        <f t="shared" si="5"/>
        <v>631.3659070979892</v>
      </c>
      <c r="E104" s="43">
        <f t="shared" si="0"/>
        <v>217.5944959950766</v>
      </c>
      <c r="F104" s="59"/>
      <c r="G104" s="43">
        <f t="shared" si="1"/>
        <v>1202.6757646421245</v>
      </c>
      <c r="H104" s="3"/>
      <c r="I104" s="3"/>
      <c r="J104" s="3"/>
      <c r="K104" s="3"/>
      <c r="L104" s="3"/>
    </row>
    <row r="105" spans="1:12" ht="12.75">
      <c r="A105" s="56">
        <f t="shared" si="2"/>
        <v>17</v>
      </c>
      <c r="B105" s="56">
        <f t="shared" si="3"/>
        <v>12705.091703538195</v>
      </c>
      <c r="C105" s="56">
        <f t="shared" si="4"/>
        <v>27062.441703538196</v>
      </c>
      <c r="D105" s="38">
        <f t="shared" si="5"/>
        <v>637.2928031857335</v>
      </c>
      <c r="E105" s="43">
        <f t="shared" si="0"/>
        <v>232.7439762444326</v>
      </c>
      <c r="F105" s="59"/>
      <c r="G105" s="43">
        <f t="shared" si="1"/>
        <v>1213.965785538321</v>
      </c>
      <c r="H105" s="3"/>
      <c r="I105" s="3"/>
      <c r="J105" s="3"/>
      <c r="K105" s="3"/>
      <c r="L105" s="3"/>
    </row>
    <row r="106" spans="1:12" ht="12.75">
      <c r="A106" s="56">
        <f t="shared" si="2"/>
        <v>17.5</v>
      </c>
      <c r="B106" s="56">
        <f t="shared" si="3"/>
        <v>12807.764429696088</v>
      </c>
      <c r="C106" s="56">
        <f t="shared" si="4"/>
        <v>27281.13942969609</v>
      </c>
      <c r="D106" s="38">
        <f t="shared" si="5"/>
        <v>642.4429107953986</v>
      </c>
      <c r="E106" s="43">
        <f t="shared" si="0"/>
        <v>245.9079413890238</v>
      </c>
      <c r="F106" s="59"/>
      <c r="G106" s="43">
        <f t="shared" si="1"/>
        <v>1223.7761182436657</v>
      </c>
      <c r="H106" s="3"/>
      <c r="I106" s="3"/>
      <c r="J106" s="3"/>
      <c r="K106" s="3"/>
      <c r="L106" s="3"/>
    </row>
    <row r="107" spans="1:12" ht="12.75">
      <c r="A107" s="56">
        <f t="shared" si="2"/>
        <v>18</v>
      </c>
      <c r="B107" s="56">
        <f t="shared" si="3"/>
        <v>12894.951073477223</v>
      </c>
      <c r="C107" s="56">
        <f t="shared" si="4"/>
        <v>27466.851073477224</v>
      </c>
      <c r="D107" s="38">
        <f t="shared" si="5"/>
        <v>646.8162299269844</v>
      </c>
      <c r="E107" s="43">
        <f t="shared" si="0"/>
        <v>257.08639142885</v>
      </c>
      <c r="F107" s="59"/>
      <c r="G107" s="43">
        <f t="shared" si="1"/>
        <v>1232.1067627581592</v>
      </c>
      <c r="H107" s="3"/>
      <c r="I107" s="3"/>
      <c r="J107" s="3"/>
      <c r="K107" s="3"/>
      <c r="L107" s="3"/>
    </row>
    <row r="108" spans="1:12" ht="12.75">
      <c r="A108" s="56">
        <f t="shared" si="2"/>
        <v>18.5</v>
      </c>
      <c r="B108" s="56">
        <f t="shared" si="3"/>
        <v>12966.651634881606</v>
      </c>
      <c r="C108" s="56">
        <f t="shared" si="4"/>
        <v>27619.576634881607</v>
      </c>
      <c r="D108" s="38">
        <f t="shared" si="5"/>
        <v>650.4127605804912</v>
      </c>
      <c r="E108" s="43">
        <f t="shared" si="0"/>
        <v>266.27932636391165</v>
      </c>
      <c r="F108" s="59"/>
      <c r="G108" s="43">
        <f t="shared" si="1"/>
        <v>1238.9577190818013</v>
      </c>
      <c r="H108" s="3"/>
      <c r="I108" s="3"/>
      <c r="J108" s="3"/>
      <c r="K108" s="3"/>
      <c r="L108" s="3"/>
    </row>
    <row r="109" spans="1:12" ht="12.75">
      <c r="A109" s="56">
        <f t="shared" si="2"/>
        <v>19</v>
      </c>
      <c r="B109" s="56">
        <f t="shared" si="3"/>
        <v>13022.866113909231</v>
      </c>
      <c r="C109" s="56">
        <f t="shared" si="4"/>
        <v>27739.31611390923</v>
      </c>
      <c r="D109" s="38">
        <f t="shared" si="5"/>
        <v>653.2325027559187</v>
      </c>
      <c r="E109" s="43">
        <f t="shared" si="0"/>
        <v>273.48674619420785</v>
      </c>
      <c r="F109" s="59"/>
      <c r="G109" s="43">
        <f t="shared" si="1"/>
        <v>1244.3289872145922</v>
      </c>
      <c r="H109" s="3"/>
      <c r="I109" s="3"/>
      <c r="J109" s="3"/>
      <c r="K109" s="3"/>
      <c r="L109" s="3"/>
    </row>
    <row r="110" spans="1:12" ht="12.75">
      <c r="A110" s="56">
        <f t="shared" si="2"/>
        <v>19.5</v>
      </c>
      <c r="B110" s="56">
        <f t="shared" si="3"/>
        <v>13063.594510560099</v>
      </c>
      <c r="C110" s="56">
        <f t="shared" si="4"/>
        <v>27826.069510560097</v>
      </c>
      <c r="D110" s="38">
        <f t="shared" si="5"/>
        <v>655.2754564532669</v>
      </c>
      <c r="E110" s="43">
        <f t="shared" si="0"/>
        <v>278.7086509197393</v>
      </c>
      <c r="F110" s="59"/>
      <c r="G110" s="43">
        <f t="shared" si="1"/>
        <v>1248.2205671565314</v>
      </c>
      <c r="H110" s="3"/>
      <c r="I110" s="3"/>
      <c r="J110" s="3"/>
      <c r="K110" s="3"/>
      <c r="L110" s="3"/>
    </row>
    <row r="111" spans="1:12" ht="12.75">
      <c r="A111" s="56">
        <f t="shared" si="2"/>
        <v>20</v>
      </c>
      <c r="B111" s="56">
        <f t="shared" si="3"/>
        <v>13088.83682483421</v>
      </c>
      <c r="C111" s="56">
        <f t="shared" si="4"/>
        <v>27879.83682483421</v>
      </c>
      <c r="D111" s="38">
        <f t="shared" si="5"/>
        <v>656.541621672536</v>
      </c>
      <c r="E111" s="43">
        <f t="shared" si="0"/>
        <v>281.94504054050617</v>
      </c>
      <c r="F111" s="59"/>
      <c r="G111" s="43">
        <f t="shared" si="1"/>
        <v>1250.6324589076191</v>
      </c>
      <c r="H111" s="3"/>
      <c r="I111" s="3"/>
      <c r="J111" s="3"/>
      <c r="K111" s="3"/>
      <c r="L111" s="3"/>
    </row>
    <row r="112" spans="1:12" ht="12.75">
      <c r="A112" s="56">
        <f t="shared" si="2"/>
        <v>20.5</v>
      </c>
      <c r="B112" s="56">
        <f t="shared" si="3"/>
        <v>13098.593056731566</v>
      </c>
      <c r="C112" s="56">
        <f t="shared" si="4"/>
        <v>27900.61805673157</v>
      </c>
      <c r="D112" s="38">
        <f t="shared" si="5"/>
        <v>657.0309984137259</v>
      </c>
      <c r="E112" s="43">
        <f t="shared" si="0"/>
        <v>283.1959150565085</v>
      </c>
      <c r="F112" s="59"/>
      <c r="G112" s="43">
        <f t="shared" si="1"/>
        <v>1251.5646624678554</v>
      </c>
      <c r="H112" s="3"/>
      <c r="I112" s="3"/>
      <c r="J112" s="3"/>
      <c r="K112" s="3"/>
      <c r="L112" s="3"/>
    </row>
    <row r="113" spans="1:12" ht="12.75">
      <c r="A113" s="13">
        <f>$C$5/2</f>
        <v>20.565</v>
      </c>
      <c r="B113" s="50">
        <f t="shared" si="3"/>
        <v>13098.72391412765</v>
      </c>
      <c r="C113" s="50">
        <f>0.5*($E$27+$F$27)*A113*($C$5-A113)</f>
        <v>27900.89678912765</v>
      </c>
      <c r="D113" s="44">
        <f>1000*B113/($E$39*$C$45)</f>
        <v>657.0375622763656</v>
      </c>
      <c r="E113" s="9">
        <f t="shared" si="0"/>
        <v>283.2126926591436</v>
      </c>
      <c r="F113" s="60"/>
      <c r="G113" s="9">
        <f>4*$I$71*A113*1000*(1-A113*1000/($C$5*1000))/($C$5*1000)</f>
        <v>1251.5771658330682</v>
      </c>
      <c r="H113" s="3"/>
      <c r="I113" s="3"/>
      <c r="J113" s="3"/>
      <c r="K113" s="3"/>
      <c r="L113" s="3"/>
    </row>
    <row r="114" spans="1:12" ht="12.75">
      <c r="A114" s="56">
        <f>A112+0.5</f>
        <v>21</v>
      </c>
      <c r="B114" s="56">
        <f t="shared" si="3"/>
        <v>13092.863206252166</v>
      </c>
      <c r="C114" s="56">
        <f t="shared" si="4"/>
        <v>27888.41320625217</v>
      </c>
      <c r="D114" s="38">
        <f t="shared" si="5"/>
        <v>656.7435866768366</v>
      </c>
      <c r="E114" s="43">
        <f t="shared" si="0"/>
        <v>282.4612744677456</v>
      </c>
      <c r="F114" s="59"/>
      <c r="G114" s="43">
        <f t="shared" si="1"/>
        <v>1251.0171778372403</v>
      </c>
      <c r="H114" s="3"/>
      <c r="I114" s="3"/>
      <c r="J114" s="3"/>
      <c r="K114" s="3"/>
      <c r="L114" s="3"/>
    </row>
    <row r="115" spans="1:12" ht="12.75">
      <c r="A115" s="56">
        <f t="shared" si="2"/>
        <v>21.5</v>
      </c>
      <c r="B115" s="56">
        <f t="shared" si="3"/>
        <v>13071.64727339601</v>
      </c>
      <c r="C115" s="56">
        <f t="shared" si="4"/>
        <v>27843.222273396015</v>
      </c>
      <c r="D115" s="38">
        <f t="shared" si="5"/>
        <v>655.679386461868</v>
      </c>
      <c r="E115" s="43">
        <f t="shared" si="0"/>
        <v>279.7411187742175</v>
      </c>
      <c r="F115" s="59"/>
      <c r="G115" s="43">
        <f t="shared" si="1"/>
        <v>1248.9900050157742</v>
      </c>
      <c r="H115" s="3"/>
      <c r="I115" s="3"/>
      <c r="J115" s="3"/>
      <c r="K115" s="3"/>
      <c r="L115" s="3"/>
    </row>
    <row r="116" spans="1:12" ht="12.75">
      <c r="A116" s="56">
        <f t="shared" si="2"/>
        <v>22</v>
      </c>
      <c r="B116" s="56">
        <f t="shared" si="3"/>
        <v>13034.945258163101</v>
      </c>
      <c r="C116" s="56">
        <f t="shared" si="4"/>
        <v>27765.045258163103</v>
      </c>
      <c r="D116" s="38">
        <f t="shared" si="5"/>
        <v>653.8383977688205</v>
      </c>
      <c r="E116" s="43">
        <f t="shared" si="0"/>
        <v>275.0354479759246</v>
      </c>
      <c r="F116" s="59"/>
      <c r="G116" s="43">
        <f t="shared" si="1"/>
        <v>1245.4831440034561</v>
      </c>
      <c r="H116" s="3"/>
      <c r="I116" s="3"/>
      <c r="J116" s="3"/>
      <c r="K116" s="3"/>
      <c r="L116" s="3"/>
    </row>
    <row r="117" spans="1:12" ht="12.75">
      <c r="A117" s="56">
        <f t="shared" si="2"/>
        <v>22.5</v>
      </c>
      <c r="B117" s="56">
        <f t="shared" si="3"/>
        <v>12982.757160553432</v>
      </c>
      <c r="C117" s="56">
        <f t="shared" si="4"/>
        <v>27653.882160553436</v>
      </c>
      <c r="D117" s="38">
        <f t="shared" si="5"/>
        <v>651.2206205976936</v>
      </c>
      <c r="E117" s="43">
        <f t="shared" si="0"/>
        <v>268.3442620728672</v>
      </c>
      <c r="F117" s="59"/>
      <c r="G117" s="43">
        <f t="shared" si="1"/>
        <v>1240.496594800287</v>
      </c>
      <c r="H117" s="3"/>
      <c r="I117" s="3"/>
      <c r="J117" s="3"/>
      <c r="K117" s="3"/>
      <c r="L117" s="3"/>
    </row>
    <row r="118" spans="1:12" ht="12.75">
      <c r="A118" s="56">
        <f t="shared" si="2"/>
        <v>23</v>
      </c>
      <c r="B118" s="56">
        <f t="shared" si="3"/>
        <v>12915.08298056701</v>
      </c>
      <c r="C118" s="56">
        <f t="shared" si="4"/>
        <v>27509.73298056701</v>
      </c>
      <c r="D118" s="38">
        <f t="shared" si="5"/>
        <v>647.8260549484875</v>
      </c>
      <c r="E118" s="43">
        <f t="shared" si="0"/>
        <v>259.6675610650443</v>
      </c>
      <c r="F118" s="59"/>
      <c r="G118" s="43">
        <f t="shared" si="1"/>
        <v>1234.0303574062664</v>
      </c>
      <c r="H118" s="3"/>
      <c r="I118" s="3"/>
      <c r="J118" s="3"/>
      <c r="K118" s="3"/>
      <c r="L118" s="3"/>
    </row>
    <row r="119" spans="1:12" ht="12.75">
      <c r="A119" s="56">
        <f t="shared" si="2"/>
        <v>23.5</v>
      </c>
      <c r="B119" s="56">
        <f t="shared" si="3"/>
        <v>12831.922718203828</v>
      </c>
      <c r="C119" s="56">
        <f t="shared" si="4"/>
        <v>27332.59771820383</v>
      </c>
      <c r="D119" s="38">
        <f t="shared" si="5"/>
        <v>643.6547008212021</v>
      </c>
      <c r="E119" s="43">
        <f t="shared" si="0"/>
        <v>249.00534495245688</v>
      </c>
      <c r="F119" s="59"/>
      <c r="G119" s="43">
        <f t="shared" si="1"/>
        <v>1226.0844318213942</v>
      </c>
      <c r="H119" s="3"/>
      <c r="I119" s="3"/>
      <c r="J119" s="3"/>
      <c r="K119" s="3"/>
      <c r="L119" s="3"/>
    </row>
    <row r="120" spans="1:12" ht="12.75">
      <c r="A120" s="56">
        <f t="shared" si="2"/>
        <v>24</v>
      </c>
      <c r="B120" s="56">
        <f t="shared" si="3"/>
        <v>12733.276373463892</v>
      </c>
      <c r="C120" s="56">
        <f t="shared" si="4"/>
        <v>27122.476373463895</v>
      </c>
      <c r="D120" s="38">
        <f t="shared" si="5"/>
        <v>638.7065582158376</v>
      </c>
      <c r="E120" s="43">
        <f t="shared" si="0"/>
        <v>236.3576137351049</v>
      </c>
      <c r="F120" s="59"/>
      <c r="G120" s="43">
        <f t="shared" si="1"/>
        <v>1216.6588180456706</v>
      </c>
      <c r="H120" s="3"/>
      <c r="I120" s="3"/>
      <c r="J120" s="3"/>
      <c r="K120" s="3"/>
      <c r="L120" s="3"/>
    </row>
    <row r="121" spans="1:12" ht="12.75">
      <c r="A121" s="56">
        <f t="shared" si="2"/>
        <v>24.5</v>
      </c>
      <c r="B121" s="56">
        <f t="shared" si="3"/>
        <v>12619.1439463472</v>
      </c>
      <c r="C121" s="56">
        <f t="shared" si="4"/>
        <v>26879.368946347204</v>
      </c>
      <c r="D121" s="38">
        <f t="shared" si="5"/>
        <v>632.981627132394</v>
      </c>
      <c r="E121" s="43">
        <f t="shared" si="0"/>
        <v>221.7243674129877</v>
      </c>
      <c r="F121" s="59"/>
      <c r="G121" s="43">
        <f t="shared" si="1"/>
        <v>1205.7535160790956</v>
      </c>
      <c r="H121" s="3"/>
      <c r="I121" s="3"/>
      <c r="J121" s="3"/>
      <c r="K121" s="3"/>
      <c r="L121" s="3"/>
    </row>
    <row r="122" spans="1:12" ht="12.75">
      <c r="A122" s="56">
        <f t="shared" si="2"/>
        <v>25</v>
      </c>
      <c r="B122" s="56">
        <f t="shared" si="3"/>
        <v>12489.525436853752</v>
      </c>
      <c r="C122" s="56">
        <f t="shared" si="4"/>
        <v>26603.275436853753</v>
      </c>
      <c r="D122" s="38">
        <f t="shared" si="5"/>
        <v>626.4799075708711</v>
      </c>
      <c r="E122" s="43">
        <f t="shared" si="0"/>
        <v>205.10560598610573</v>
      </c>
      <c r="F122" s="59"/>
      <c r="G122" s="43">
        <f t="shared" si="1"/>
        <v>1193.3685259216693</v>
      </c>
      <c r="H122" s="3"/>
      <c r="I122" s="3"/>
      <c r="J122" s="3"/>
      <c r="K122" s="3"/>
      <c r="L122" s="3"/>
    </row>
    <row r="123" spans="1:12" ht="12.75">
      <c r="A123" s="56">
        <f t="shared" si="2"/>
        <v>25.5</v>
      </c>
      <c r="B123" s="56">
        <f t="shared" si="3"/>
        <v>12344.420844983548</v>
      </c>
      <c r="C123" s="56">
        <f t="shared" si="4"/>
        <v>26294.19584498355</v>
      </c>
      <c r="D123" s="38">
        <f t="shared" si="5"/>
        <v>619.2013995312691</v>
      </c>
      <c r="E123" s="43">
        <f t="shared" si="0"/>
        <v>186.50132945445876</v>
      </c>
      <c r="F123" s="59"/>
      <c r="G123" s="43">
        <f t="shared" si="1"/>
        <v>1179.5038475733913</v>
      </c>
      <c r="H123" s="3"/>
      <c r="I123" s="3"/>
      <c r="J123" s="3"/>
      <c r="K123" s="3"/>
      <c r="L123" s="3"/>
    </row>
    <row r="124" spans="1:12" ht="12.75">
      <c r="A124" s="56">
        <f t="shared" si="2"/>
        <v>26</v>
      </c>
      <c r="B124" s="56">
        <f t="shared" si="3"/>
        <v>12183.830170736586</v>
      </c>
      <c r="C124" s="56">
        <f t="shared" si="4"/>
        <v>25952.13017073659</v>
      </c>
      <c r="D124" s="38">
        <f t="shared" si="5"/>
        <v>611.1461030135878</v>
      </c>
      <c r="E124" s="43">
        <f t="shared" si="0"/>
        <v>165.91153781804678</v>
      </c>
      <c r="F124" s="59"/>
      <c r="G124" s="43">
        <f t="shared" si="1"/>
        <v>1164.1594810342624</v>
      </c>
      <c r="H124" s="3"/>
      <c r="I124" s="3"/>
      <c r="J124" s="3"/>
      <c r="K124" s="3"/>
      <c r="L124" s="3"/>
    </row>
    <row r="125" spans="1:12" ht="12.75">
      <c r="A125" s="56">
        <f t="shared" si="2"/>
        <v>26.5</v>
      </c>
      <c r="B125" s="56">
        <f t="shared" si="3"/>
        <v>12007.753414112873</v>
      </c>
      <c r="C125" s="56">
        <f t="shared" si="4"/>
        <v>25577.07841411287</v>
      </c>
      <c r="D125" s="38">
        <f t="shared" si="5"/>
        <v>602.3140180178275</v>
      </c>
      <c r="E125" s="43">
        <f t="shared" si="0"/>
        <v>143.33623107687004</v>
      </c>
      <c r="F125" s="59"/>
      <c r="G125" s="43">
        <f t="shared" si="1"/>
        <v>1147.3354263042813</v>
      </c>
      <c r="H125" s="3"/>
      <c r="I125" s="3"/>
      <c r="J125" s="3"/>
      <c r="K125" s="3"/>
      <c r="L125" s="3"/>
    </row>
    <row r="126" spans="1:12" ht="12.75">
      <c r="A126" s="56">
        <f t="shared" si="2"/>
        <v>27</v>
      </c>
      <c r="B126" s="56">
        <f t="shared" si="3"/>
        <v>11816.1905751124</v>
      </c>
      <c r="C126" s="56">
        <f t="shared" si="4"/>
        <v>25169.0405751124</v>
      </c>
      <c r="D126" s="38">
        <f t="shared" si="5"/>
        <v>592.7051445439877</v>
      </c>
      <c r="E126" s="43">
        <f t="shared" si="0"/>
        <v>118.77540923092874</v>
      </c>
      <c r="F126" s="59"/>
      <c r="G126" s="43">
        <f t="shared" si="1"/>
        <v>1129.0316833834497</v>
      </c>
      <c r="H126" s="3"/>
      <c r="I126" s="3"/>
      <c r="J126" s="3"/>
      <c r="K126" s="3"/>
      <c r="L126" s="3"/>
    </row>
    <row r="127" spans="1:12" ht="12.75">
      <c r="A127" s="56">
        <f t="shared" si="2"/>
        <v>27.5</v>
      </c>
      <c r="B127" s="56">
        <f t="shared" si="3"/>
        <v>11609.14165373517</v>
      </c>
      <c r="C127" s="56">
        <f t="shared" si="4"/>
        <v>24728.016653735172</v>
      </c>
      <c r="D127" s="38">
        <f t="shared" si="5"/>
        <v>582.3194825920689</v>
      </c>
      <c r="E127" s="43">
        <f t="shared" si="0"/>
        <v>92.229072280222</v>
      </c>
      <c r="F127" s="59"/>
      <c r="G127" s="43">
        <f t="shared" si="1"/>
        <v>1109.248252271766</v>
      </c>
      <c r="H127" s="3"/>
      <c r="I127" s="3"/>
      <c r="J127" s="3"/>
      <c r="K127" s="3"/>
      <c r="L127" s="3"/>
    </row>
    <row r="128" spans="1:12" ht="12.75">
      <c r="A128" s="56">
        <f t="shared" si="2"/>
        <v>28</v>
      </c>
      <c r="B128" s="56">
        <f t="shared" si="3"/>
        <v>11386.606649981186</v>
      </c>
      <c r="C128" s="56">
        <f t="shared" si="4"/>
        <v>24254.00664998119</v>
      </c>
      <c r="D128" s="38">
        <f t="shared" si="5"/>
        <v>571.1570321620708</v>
      </c>
      <c r="E128" s="43">
        <f t="shared" si="0"/>
        <v>63.697220224750936</v>
      </c>
      <c r="F128" s="59"/>
      <c r="G128" s="43">
        <f t="shared" si="1"/>
        <v>1087.9851329692312</v>
      </c>
      <c r="H128" s="3"/>
      <c r="I128" s="3"/>
      <c r="J128" s="3"/>
      <c r="K128" s="3"/>
      <c r="L128" s="3"/>
    </row>
    <row r="129" spans="1:12" ht="12.75">
      <c r="A129" s="56">
        <f t="shared" si="2"/>
        <v>28.5</v>
      </c>
      <c r="B129" s="56">
        <f t="shared" si="3"/>
        <v>11148.585563850445</v>
      </c>
      <c r="C129" s="56">
        <f t="shared" si="4"/>
        <v>23747.01056385045</v>
      </c>
      <c r="D129" s="38">
        <f t="shared" si="5"/>
        <v>559.2177932539936</v>
      </c>
      <c r="E129" s="43">
        <f t="shared" si="0"/>
        <v>33.179853064514646</v>
      </c>
      <c r="F129" s="59"/>
      <c r="G129" s="43">
        <f t="shared" si="1"/>
        <v>1065.2423254758448</v>
      </c>
      <c r="H129" s="3"/>
      <c r="I129" s="3"/>
      <c r="J129" s="3"/>
      <c r="K129" s="3"/>
      <c r="L129" s="3"/>
    </row>
    <row r="130" spans="1:12" ht="12.75">
      <c r="A130" s="56">
        <f t="shared" si="2"/>
        <v>29</v>
      </c>
      <c r="B130" s="56">
        <f t="shared" si="3"/>
        <v>10895.078395342949</v>
      </c>
      <c r="C130" s="56">
        <f t="shared" si="4"/>
        <v>23207.028395342953</v>
      </c>
      <c r="D130" s="38">
        <f t="shared" si="5"/>
        <v>546.5017658678372</v>
      </c>
      <c r="E130" s="43">
        <f t="shared" si="0"/>
        <v>0.6769707995135832</v>
      </c>
      <c r="F130" s="59"/>
      <c r="G130" s="43">
        <f t="shared" si="1"/>
        <v>1041.0198297916074</v>
      </c>
      <c r="H130" s="3"/>
      <c r="I130" s="3"/>
      <c r="J130" s="3"/>
      <c r="K130" s="3"/>
      <c r="L130" s="3"/>
    </row>
    <row r="131" spans="1:12" ht="12.75">
      <c r="A131" s="56">
        <f t="shared" si="2"/>
        <v>29.5</v>
      </c>
      <c r="B131" s="56">
        <f t="shared" si="3"/>
        <v>10626.085144458697</v>
      </c>
      <c r="C131" s="56">
        <f t="shared" si="4"/>
        <v>22634.0601444587</v>
      </c>
      <c r="D131" s="38">
        <f t="shared" si="5"/>
        <v>533.0089500036015</v>
      </c>
      <c r="E131" s="43">
        <f t="shared" si="0"/>
        <v>-33.81142657025248</v>
      </c>
      <c r="F131" s="59"/>
      <c r="G131" s="43">
        <f t="shared" si="1"/>
        <v>1015.3176459165179</v>
      </c>
      <c r="H131" s="3"/>
      <c r="I131" s="3"/>
      <c r="J131" s="3"/>
      <c r="K131" s="3"/>
      <c r="L131" s="3"/>
    </row>
    <row r="132" spans="1:12" ht="12.75">
      <c r="A132" s="56">
        <f>A131+0.5</f>
        <v>30</v>
      </c>
      <c r="B132" s="56">
        <f>0.5*$A$27*A132*($C$5-A132)</f>
        <v>10341.605811197689</v>
      </c>
      <c r="C132" s="56">
        <f>0.5*($E$27+$F$27)*A132*($C$5-A132)</f>
        <v>22028.105811197693</v>
      </c>
      <c r="D132" s="38">
        <f>1000*B132/($E$39*$C$45)</f>
        <v>518.7393456612867</v>
      </c>
      <c r="E132" s="43">
        <f t="shared" si="0"/>
        <v>-70.28533904478309</v>
      </c>
      <c r="F132" s="59"/>
      <c r="G132" s="43">
        <f t="shared" si="1"/>
        <v>988.1357738505775</v>
      </c>
      <c r="H132" s="3"/>
      <c r="I132" s="3"/>
      <c r="J132" s="3"/>
      <c r="K132" s="3"/>
      <c r="L132" s="3"/>
    </row>
    <row r="133" spans="1:12" ht="12.75">
      <c r="A133" s="56">
        <f aca="true" t="shared" si="6" ref="A133:A154">A132+0.5</f>
        <v>30.5</v>
      </c>
      <c r="B133" s="56">
        <f aca="true" t="shared" si="7" ref="B133:B155">0.5*$A$27*A133*($C$5-A133)</f>
        <v>10041.640395559925</v>
      </c>
      <c r="C133" s="56">
        <f aca="true" t="shared" si="8" ref="C133:C155">0.5*($E$27+$F$27)*A133*($C$5-A133)</f>
        <v>21389.16539555993</v>
      </c>
      <c r="D133" s="38">
        <f aca="true" t="shared" si="9" ref="D133:D155">1000*B133/($E$39*$C$45)</f>
        <v>503.6929528408928</v>
      </c>
      <c r="E133" s="43">
        <f t="shared" si="0"/>
        <v>-108.74476662407892</v>
      </c>
      <c r="F133" s="59"/>
      <c r="G133" s="43">
        <f t="shared" si="1"/>
        <v>959.4742135937854</v>
      </c>
      <c r="H133" s="3"/>
      <c r="I133" s="3"/>
      <c r="J133" s="3"/>
      <c r="K133" s="3"/>
      <c r="L133" s="3"/>
    </row>
    <row r="134" spans="1:12" ht="12.75">
      <c r="A134" s="56">
        <f t="shared" si="6"/>
        <v>31</v>
      </c>
      <c r="B134" s="56">
        <f t="shared" si="7"/>
        <v>9726.188897545404</v>
      </c>
      <c r="C134" s="56">
        <f t="shared" si="8"/>
        <v>20717.23889754541</v>
      </c>
      <c r="D134" s="38">
        <f t="shared" si="9"/>
        <v>487.8697715424196</v>
      </c>
      <c r="E134" s="43">
        <f t="shared" si="0"/>
        <v>-149.18970930813953</v>
      </c>
      <c r="F134" s="59"/>
      <c r="G134" s="43">
        <f t="shared" si="1"/>
        <v>929.3329651461419</v>
      </c>
      <c r="H134" s="3"/>
      <c r="I134" s="3"/>
      <c r="J134" s="3"/>
      <c r="K134" s="3"/>
      <c r="L134" s="3"/>
    </row>
    <row r="135" spans="1:12" ht="12.75">
      <c r="A135" s="56">
        <f t="shared" si="6"/>
        <v>31.5</v>
      </c>
      <c r="B135" s="56">
        <f t="shared" si="7"/>
        <v>9395.251317154127</v>
      </c>
      <c r="C135" s="56">
        <f t="shared" si="8"/>
        <v>20012.32631715413</v>
      </c>
      <c r="D135" s="38">
        <f t="shared" si="9"/>
        <v>471.2698017658671</v>
      </c>
      <c r="E135" s="43">
        <f t="shared" si="0"/>
        <v>-191.62016709696536</v>
      </c>
      <c r="F135" s="59"/>
      <c r="G135" s="43">
        <f t="shared" si="1"/>
        <v>897.7120285076473</v>
      </c>
      <c r="H135" s="3"/>
      <c r="I135" s="3"/>
      <c r="J135" s="3"/>
      <c r="K135" s="3"/>
      <c r="L135" s="3"/>
    </row>
    <row r="136" spans="1:12" ht="12.75">
      <c r="A136" s="56">
        <f t="shared" si="6"/>
        <v>32</v>
      </c>
      <c r="B136" s="56">
        <f t="shared" si="7"/>
        <v>9048.827654386094</v>
      </c>
      <c r="C136" s="56">
        <f t="shared" si="8"/>
        <v>19274.427654386098</v>
      </c>
      <c r="D136" s="38">
        <f t="shared" si="9"/>
        <v>453.89304351123553</v>
      </c>
      <c r="E136" s="43">
        <f aca="true" t="shared" si="10" ref="E136:E155">(1000*C136/$C$45)-($D$61+$D$65)</f>
        <v>-236.0361399905555</v>
      </c>
      <c r="F136" s="59"/>
      <c r="G136" s="43">
        <f t="shared" si="1"/>
        <v>864.6114036783007</v>
      </c>
      <c r="H136" s="3"/>
      <c r="I136" s="3"/>
      <c r="J136" s="3"/>
      <c r="K136" s="3"/>
      <c r="L136" s="3"/>
    </row>
    <row r="137" spans="1:12" ht="12.75">
      <c r="A137" s="56">
        <f t="shared" si="6"/>
        <v>32.5</v>
      </c>
      <c r="B137" s="56">
        <f t="shared" si="7"/>
        <v>8686.917909241305</v>
      </c>
      <c r="C137" s="56">
        <f t="shared" si="8"/>
        <v>18503.54290924131</v>
      </c>
      <c r="D137" s="38">
        <f t="shared" si="9"/>
        <v>435.73949677852477</v>
      </c>
      <c r="E137" s="43">
        <f t="shared" si="10"/>
        <v>-282.43762798891066</v>
      </c>
      <c r="F137" s="59"/>
      <c r="G137" s="43">
        <f aca="true" t="shared" si="11" ref="G137:G155">4*$I$71*A137*1000*(1-A137*1000/($C$5*1000))/($C$5*1000)</f>
        <v>830.0310906581034</v>
      </c>
      <c r="H137" s="3"/>
      <c r="I137" s="3"/>
      <c r="J137" s="3"/>
      <c r="K137" s="3"/>
      <c r="L137" s="3"/>
    </row>
    <row r="138" spans="1:12" ht="12.75">
      <c r="A138" s="56">
        <f t="shared" si="6"/>
        <v>33</v>
      </c>
      <c r="B138" s="56">
        <f t="shared" si="7"/>
        <v>8309.52208171976</v>
      </c>
      <c r="C138" s="56">
        <f t="shared" si="8"/>
        <v>17699.672081719764</v>
      </c>
      <c r="D138" s="38">
        <f t="shared" si="9"/>
        <v>416.80916156773475</v>
      </c>
      <c r="E138" s="43">
        <f t="shared" si="10"/>
        <v>-330.82463109203104</v>
      </c>
      <c r="F138" s="59"/>
      <c r="G138" s="43">
        <f t="shared" si="11"/>
        <v>793.9710894470542</v>
      </c>
      <c r="H138" s="3"/>
      <c r="I138" s="3"/>
      <c r="J138" s="3"/>
      <c r="K138" s="3"/>
      <c r="L138" s="3"/>
    </row>
    <row r="139" spans="1:12" ht="12.75">
      <c r="A139" s="56">
        <f t="shared" si="6"/>
        <v>33.5</v>
      </c>
      <c r="B139" s="56">
        <f t="shared" si="7"/>
        <v>7916.64017182146</v>
      </c>
      <c r="C139" s="56">
        <f t="shared" si="8"/>
        <v>16862.815171821465</v>
      </c>
      <c r="D139" s="38">
        <f t="shared" si="9"/>
        <v>397.1020378788656</v>
      </c>
      <c r="E139" s="43">
        <f t="shared" si="10"/>
        <v>-381.19714929991596</v>
      </c>
      <c r="F139" s="59"/>
      <c r="G139" s="43">
        <f t="shared" si="11"/>
        <v>756.431400045154</v>
      </c>
      <c r="H139" s="3"/>
      <c r="I139" s="3"/>
      <c r="J139" s="3"/>
      <c r="K139" s="3"/>
      <c r="L139" s="3"/>
    </row>
    <row r="140" spans="1:12" ht="12.75">
      <c r="A140" s="56">
        <f t="shared" si="6"/>
        <v>34</v>
      </c>
      <c r="B140" s="56">
        <f t="shared" si="7"/>
        <v>7508.272179546403</v>
      </c>
      <c r="C140" s="56">
        <f t="shared" si="8"/>
        <v>15992.972179546407</v>
      </c>
      <c r="D140" s="38">
        <f t="shared" si="9"/>
        <v>376.6181257119172</v>
      </c>
      <c r="E140" s="43">
        <f t="shared" si="10"/>
        <v>-433.5551826125659</v>
      </c>
      <c r="F140" s="59"/>
      <c r="G140" s="43">
        <f t="shared" si="11"/>
        <v>717.4120224524016</v>
      </c>
      <c r="H140" s="3"/>
      <c r="I140" s="3"/>
      <c r="J140" s="3"/>
      <c r="K140" s="3"/>
      <c r="L140" s="3"/>
    </row>
    <row r="141" spans="1:12" ht="12.75">
      <c r="A141" s="56">
        <f t="shared" si="6"/>
        <v>34.5</v>
      </c>
      <c r="B141" s="56">
        <f t="shared" si="7"/>
        <v>7084.41810489459</v>
      </c>
      <c r="C141" s="56">
        <f t="shared" si="8"/>
        <v>15090.143104894594</v>
      </c>
      <c r="D141" s="38">
        <f t="shared" si="9"/>
        <v>355.3574250668896</v>
      </c>
      <c r="E141" s="43">
        <f t="shared" si="10"/>
        <v>-487.8987310299807</v>
      </c>
      <c r="F141" s="59"/>
      <c r="G141" s="43">
        <f t="shared" si="11"/>
        <v>676.9129566687988</v>
      </c>
      <c r="H141" s="3"/>
      <c r="I141" s="3"/>
      <c r="J141" s="3"/>
      <c r="K141" s="3"/>
      <c r="L141" s="3"/>
    </row>
    <row r="142" spans="1:12" ht="12.75">
      <c r="A142" s="56">
        <f t="shared" si="6"/>
        <v>35</v>
      </c>
      <c r="B142" s="56">
        <f t="shared" si="7"/>
        <v>6645.077947866021</v>
      </c>
      <c r="C142" s="56">
        <f t="shared" si="8"/>
        <v>14154.327947866024</v>
      </c>
      <c r="D142" s="38">
        <f t="shared" si="9"/>
        <v>333.3199359437828</v>
      </c>
      <c r="E142" s="43">
        <f t="shared" si="10"/>
        <v>-544.2277945521604</v>
      </c>
      <c r="F142" s="59"/>
      <c r="G142" s="43">
        <f t="shared" si="11"/>
        <v>634.9342026943438</v>
      </c>
      <c r="H142" s="3"/>
      <c r="I142" s="3"/>
      <c r="J142" s="3"/>
      <c r="K142" s="3"/>
      <c r="L142" s="3"/>
    </row>
    <row r="143" spans="1:12" ht="12.75">
      <c r="A143" s="56">
        <f t="shared" si="6"/>
        <v>35.5</v>
      </c>
      <c r="B143" s="56">
        <f t="shared" si="7"/>
        <v>6190.251708460696</v>
      </c>
      <c r="C143" s="56">
        <f t="shared" si="8"/>
        <v>13185.5267084607</v>
      </c>
      <c r="D143" s="38">
        <f t="shared" si="9"/>
        <v>310.50565834259686</v>
      </c>
      <c r="E143" s="43">
        <f t="shared" si="10"/>
        <v>-602.5423731791049</v>
      </c>
      <c r="F143" s="59"/>
      <c r="G143" s="43">
        <f t="shared" si="11"/>
        <v>591.4757605290379</v>
      </c>
      <c r="H143" s="3"/>
      <c r="I143" s="3"/>
      <c r="J143" s="3"/>
      <c r="K143" s="3"/>
      <c r="L143" s="3"/>
    </row>
    <row r="144" spans="1:12" ht="12.75">
      <c r="A144" s="56">
        <f t="shared" si="6"/>
        <v>36</v>
      </c>
      <c r="B144" s="56">
        <f t="shared" si="7"/>
        <v>5719.939386678615</v>
      </c>
      <c r="C144" s="56">
        <f t="shared" si="8"/>
        <v>12183.739386678619</v>
      </c>
      <c r="D144" s="38">
        <f t="shared" si="9"/>
        <v>286.9145922633317</v>
      </c>
      <c r="E144" s="43">
        <f t="shared" si="10"/>
        <v>-662.8424669108142</v>
      </c>
      <c r="F144" s="59"/>
      <c r="G144" s="43">
        <f t="shared" si="11"/>
        <v>546.5376301728801</v>
      </c>
      <c r="H144" s="3"/>
      <c r="I144" s="3"/>
      <c r="J144" s="3"/>
      <c r="K144" s="3"/>
      <c r="L144" s="3"/>
    </row>
    <row r="145" spans="1:12" ht="12.75">
      <c r="A145" s="56">
        <f t="shared" si="6"/>
        <v>36.5</v>
      </c>
      <c r="B145" s="56">
        <f t="shared" si="7"/>
        <v>5234.140982519779</v>
      </c>
      <c r="C145" s="56">
        <f t="shared" si="8"/>
        <v>11148.965982519781</v>
      </c>
      <c r="D145" s="38">
        <f t="shared" si="9"/>
        <v>262.54673770598737</v>
      </c>
      <c r="E145" s="43">
        <f t="shared" si="10"/>
        <v>-725.1280757472887</v>
      </c>
      <c r="F145" s="59"/>
      <c r="G145" s="43">
        <f t="shared" si="11"/>
        <v>500.1198116258708</v>
      </c>
      <c r="H145" s="3"/>
      <c r="I145" s="3"/>
      <c r="J145" s="3"/>
      <c r="K145" s="3"/>
      <c r="L145" s="3"/>
    </row>
    <row r="146" spans="1:12" ht="12.75">
      <c r="A146" s="56">
        <f t="shared" si="6"/>
        <v>37</v>
      </c>
      <c r="B146" s="56">
        <f t="shared" si="7"/>
        <v>4732.856495984186</v>
      </c>
      <c r="C146" s="56">
        <f t="shared" si="8"/>
        <v>10081.206495984188</v>
      </c>
      <c r="D146" s="38">
        <f t="shared" si="9"/>
        <v>237.40209467056388</v>
      </c>
      <c r="E146" s="43">
        <f t="shared" si="10"/>
        <v>-789.3991996885279</v>
      </c>
      <c r="F146" s="59"/>
      <c r="G146" s="43">
        <f t="shared" si="11"/>
        <v>452.22230488801057</v>
      </c>
      <c r="H146" s="3"/>
      <c r="I146" s="3"/>
      <c r="J146" s="3"/>
      <c r="K146" s="3"/>
      <c r="L146" s="3"/>
    </row>
    <row r="147" spans="1:12" ht="12.75">
      <c r="A147" s="56">
        <f t="shared" si="6"/>
        <v>37.5</v>
      </c>
      <c r="B147" s="56">
        <f t="shared" si="7"/>
        <v>4216.0859270718365</v>
      </c>
      <c r="C147" s="56">
        <f t="shared" si="8"/>
        <v>8980.46092707184</v>
      </c>
      <c r="D147" s="38">
        <f t="shared" si="9"/>
        <v>211.48066315706112</v>
      </c>
      <c r="E147" s="43">
        <f t="shared" si="10"/>
        <v>-855.6558387345318</v>
      </c>
      <c r="F147" s="59"/>
      <c r="G147" s="43">
        <f t="shared" si="11"/>
        <v>402.8451099592986</v>
      </c>
      <c r="H147" s="3"/>
      <c r="I147" s="3"/>
      <c r="J147" s="3"/>
      <c r="K147" s="3"/>
      <c r="L147" s="3"/>
    </row>
    <row r="148" spans="1:12" ht="12.75">
      <c r="A148" s="56">
        <f t="shared" si="6"/>
        <v>38</v>
      </c>
      <c r="B148" s="56">
        <f t="shared" si="7"/>
        <v>3683.829275782731</v>
      </c>
      <c r="C148" s="56">
        <f t="shared" si="8"/>
        <v>7846.729275782734</v>
      </c>
      <c r="D148" s="38">
        <f t="shared" si="9"/>
        <v>184.78244316547915</v>
      </c>
      <c r="E148" s="43">
        <f t="shared" si="10"/>
        <v>-923.8979928853009</v>
      </c>
      <c r="F148" s="59"/>
      <c r="G148" s="43">
        <f t="shared" si="11"/>
        <v>351.9882268397356</v>
      </c>
      <c r="H148" s="3"/>
      <c r="I148" s="3"/>
      <c r="J148" s="3"/>
      <c r="K148" s="3"/>
      <c r="L148" s="3"/>
    </row>
    <row r="149" spans="1:12" ht="12.75">
      <c r="A149" s="56">
        <f t="shared" si="6"/>
        <v>38.5</v>
      </c>
      <c r="B149" s="56">
        <f t="shared" si="7"/>
        <v>3136.0865421168696</v>
      </c>
      <c r="C149" s="56">
        <f t="shared" si="8"/>
        <v>6680.011542116873</v>
      </c>
      <c r="D149" s="38">
        <f t="shared" si="9"/>
        <v>157.30743469581802</v>
      </c>
      <c r="E149" s="43">
        <f t="shared" si="10"/>
        <v>-994.1256621408347</v>
      </c>
      <c r="F149" s="59"/>
      <c r="G149" s="43">
        <f t="shared" si="11"/>
        <v>299.65165552932064</v>
      </c>
      <c r="H149" s="3"/>
      <c r="I149" s="3"/>
      <c r="J149" s="3"/>
      <c r="K149" s="3"/>
      <c r="L149" s="3"/>
    </row>
    <row r="150" spans="1:12" ht="12.75">
      <c r="A150" s="56">
        <f t="shared" si="6"/>
        <v>39</v>
      </c>
      <c r="B150" s="56">
        <f t="shared" si="7"/>
        <v>2572.8577260742522</v>
      </c>
      <c r="C150" s="56">
        <f t="shared" si="8"/>
        <v>5480.307726074256</v>
      </c>
      <c r="D150" s="38">
        <f t="shared" si="9"/>
        <v>129.05563774807766</v>
      </c>
      <c r="E150" s="43">
        <f t="shared" si="10"/>
        <v>-1066.3388465011333</v>
      </c>
      <c r="F150" s="59"/>
      <c r="G150" s="43">
        <f t="shared" si="11"/>
        <v>245.83539602805487</v>
      </c>
      <c r="H150" s="3"/>
      <c r="I150" s="3"/>
      <c r="J150" s="3"/>
      <c r="K150" s="3"/>
      <c r="L150" s="3"/>
    </row>
    <row r="151" spans="1:12" ht="12.75">
      <c r="A151" s="56">
        <f t="shared" si="6"/>
        <v>39.5</v>
      </c>
      <c r="B151" s="56">
        <f t="shared" si="7"/>
        <v>1994.142827654879</v>
      </c>
      <c r="C151" s="56">
        <f t="shared" si="8"/>
        <v>4247.617827654883</v>
      </c>
      <c r="D151" s="38">
        <f t="shared" si="9"/>
        <v>100.02705232225814</v>
      </c>
      <c r="E151" s="43">
        <f t="shared" si="10"/>
        <v>-1140.5375459661968</v>
      </c>
      <c r="F151" s="59"/>
      <c r="G151" s="43">
        <f t="shared" si="11"/>
        <v>190.53944833593712</v>
      </c>
      <c r="H151" s="3"/>
      <c r="I151" s="3"/>
      <c r="J151" s="3"/>
      <c r="K151" s="3"/>
      <c r="L151" s="3"/>
    </row>
    <row r="152" spans="1:12" ht="12.75">
      <c r="A152" s="56">
        <f t="shared" si="6"/>
        <v>40</v>
      </c>
      <c r="B152" s="56">
        <f t="shared" si="7"/>
        <v>1399.9418468587496</v>
      </c>
      <c r="C152" s="56">
        <f t="shared" si="8"/>
        <v>2981.941846858753</v>
      </c>
      <c r="D152" s="38">
        <f t="shared" si="9"/>
        <v>70.22167841835942</v>
      </c>
      <c r="E152" s="43">
        <f t="shared" si="10"/>
        <v>-1216.7217605360254</v>
      </c>
      <c r="F152" s="59"/>
      <c r="G152" s="43">
        <f t="shared" si="11"/>
        <v>133.76381245296847</v>
      </c>
      <c r="H152" s="3"/>
      <c r="I152" s="3"/>
      <c r="J152" s="3"/>
      <c r="K152" s="3"/>
      <c r="L152" s="3"/>
    </row>
    <row r="153" spans="1:12" ht="12.75">
      <c r="A153" s="56">
        <f t="shared" si="6"/>
        <v>40.5</v>
      </c>
      <c r="B153" s="56">
        <f t="shared" si="7"/>
        <v>790.2547836858641</v>
      </c>
      <c r="C153" s="56">
        <f t="shared" si="8"/>
        <v>1683.2797836858679</v>
      </c>
      <c r="D153" s="38">
        <f t="shared" si="9"/>
        <v>39.6395160363815</v>
      </c>
      <c r="E153" s="43">
        <f t="shared" si="10"/>
        <v>-1294.8914902106187</v>
      </c>
      <c r="F153" s="59"/>
      <c r="G153" s="43">
        <f t="shared" si="11"/>
        <v>75.50848837914785</v>
      </c>
      <c r="H153" s="3"/>
      <c r="I153" s="3"/>
      <c r="J153" s="3"/>
      <c r="K153" s="3"/>
      <c r="L153" s="3"/>
    </row>
    <row r="154" spans="1:12" ht="12.75">
      <c r="A154" s="56">
        <f t="shared" si="6"/>
        <v>41</v>
      </c>
      <c r="B154" s="56">
        <f t="shared" si="7"/>
        <v>165.0816381362227</v>
      </c>
      <c r="C154" s="56">
        <f t="shared" si="8"/>
        <v>351.6316381362264</v>
      </c>
      <c r="D154" s="38">
        <f t="shared" si="9"/>
        <v>8.280565176324385</v>
      </c>
      <c r="E154" s="43">
        <f t="shared" si="10"/>
        <v>-1375.046734989977</v>
      </c>
      <c r="F154" s="59"/>
      <c r="G154" s="43">
        <f t="shared" si="11"/>
        <v>15.773476114476377</v>
      </c>
      <c r="H154" s="3"/>
      <c r="I154" s="3"/>
      <c r="J154" s="3"/>
      <c r="K154" s="3"/>
      <c r="L154" s="3"/>
    </row>
    <row r="155" spans="1:12" ht="12.75">
      <c r="A155" s="57">
        <f>A154+0.13</f>
        <v>41.13</v>
      </c>
      <c r="B155" s="57">
        <f t="shared" si="7"/>
        <v>0</v>
      </c>
      <c r="C155" s="57">
        <f t="shared" si="8"/>
        <v>0</v>
      </c>
      <c r="D155" s="67">
        <f t="shared" si="9"/>
        <v>0</v>
      </c>
      <c r="E155" s="58">
        <f t="shared" si="10"/>
        <v>-1396.212326006771</v>
      </c>
      <c r="F155" s="59"/>
      <c r="G155" s="58">
        <f t="shared" si="11"/>
        <v>0</v>
      </c>
      <c r="H155" s="3"/>
      <c r="I155" s="3"/>
      <c r="J155" s="3"/>
      <c r="K155" s="3"/>
      <c r="L155" s="3"/>
    </row>
    <row r="156" spans="1:12" ht="12.75">
      <c r="A156" s="49"/>
      <c r="B156" s="49"/>
      <c r="C156" s="49"/>
      <c r="D156" s="26"/>
      <c r="E156" s="26"/>
      <c r="F156" s="3"/>
      <c r="G156" s="3"/>
      <c r="H156" s="3"/>
      <c r="I156" s="3"/>
      <c r="J156" s="3"/>
      <c r="K156" s="3"/>
      <c r="L156" s="3"/>
    </row>
    <row r="157" spans="1:12" ht="12.75">
      <c r="A157" s="3" t="s">
        <v>102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5" t="s">
        <v>103</v>
      </c>
      <c r="B159" s="5" t="s">
        <v>104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" t="s">
        <v>105</v>
      </c>
      <c r="B160" s="6" t="s">
        <v>105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12">
        <f>-8*$I$71*0.001*$E$39*$C$45/($C$5^2)</f>
        <v>-117.99646293467292</v>
      </c>
      <c r="B161" s="12">
        <f>-8*$I$71*0.001*$C$45/($C$5^2)</f>
        <v>-98.3303857788941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 t="s">
        <v>106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 t="s">
        <v>107</v>
      </c>
      <c r="B165" s="3" t="s">
        <v>108</v>
      </c>
      <c r="C165" s="3"/>
      <c r="D165" s="3" t="s">
        <v>107</v>
      </c>
      <c r="E165" s="3" t="s">
        <v>108</v>
      </c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4.25">
      <c r="A167" s="5" t="s">
        <v>109</v>
      </c>
      <c r="B167" s="5" t="s">
        <v>110</v>
      </c>
      <c r="C167" s="3"/>
      <c r="D167" s="21" t="s">
        <v>111</v>
      </c>
      <c r="E167" s="21" t="s">
        <v>112</v>
      </c>
      <c r="F167" s="3"/>
      <c r="G167" s="3"/>
      <c r="H167" s="3"/>
      <c r="I167" s="3"/>
      <c r="J167" s="3"/>
      <c r="K167" s="3"/>
      <c r="L167" s="3"/>
    </row>
    <row r="168" spans="1:12" ht="12.75">
      <c r="A168" s="6" t="s">
        <v>105</v>
      </c>
      <c r="B168" s="6" t="s">
        <v>105</v>
      </c>
      <c r="C168" s="3"/>
      <c r="D168" s="6" t="s">
        <v>9</v>
      </c>
      <c r="E168" s="6" t="s">
        <v>9</v>
      </c>
      <c r="F168" s="3"/>
      <c r="G168" s="3"/>
      <c r="H168" s="3"/>
      <c r="I168" s="3"/>
      <c r="J168" s="3"/>
      <c r="K168" s="3"/>
      <c r="L168" s="3"/>
    </row>
    <row r="169" spans="1:12" ht="12.75">
      <c r="A169" s="12">
        <f>$A$27-(ABS($A$161))</f>
        <v>-56.05213342764874</v>
      </c>
      <c r="B169" s="12">
        <f>$E$27+$F$27-(ABS($B$161))</f>
        <v>33.61394372813008</v>
      </c>
      <c r="C169" s="3"/>
      <c r="D169" s="7">
        <f>5*A169*(($C$5*1000)^4)/(384*$H$33*$F$13)</f>
        <v>-33.37533686731209</v>
      </c>
      <c r="E169" s="7">
        <f>5*B169*(($C$5*1000)^4)/(384*$H$33*$F$13)</f>
        <v>20.014879483816898</v>
      </c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 t="s">
        <v>119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5" t="s">
        <v>61</v>
      </c>
      <c r="B173" s="5" t="s">
        <v>19</v>
      </c>
      <c r="C173" s="5" t="s">
        <v>113</v>
      </c>
      <c r="D173" s="5" t="s">
        <v>114</v>
      </c>
      <c r="E173" s="5" t="s">
        <v>86</v>
      </c>
      <c r="F173" s="3"/>
      <c r="G173" s="3"/>
      <c r="H173" s="3"/>
      <c r="I173" s="3"/>
      <c r="J173" s="3"/>
      <c r="K173" s="3"/>
      <c r="L173" s="3"/>
    </row>
    <row r="174" spans="1:12" ht="12.75">
      <c r="A174" s="6" t="s">
        <v>62</v>
      </c>
      <c r="B174" s="6" t="s">
        <v>62</v>
      </c>
      <c r="C174" s="6" t="s">
        <v>115</v>
      </c>
      <c r="D174" s="6" t="s">
        <v>15</v>
      </c>
      <c r="E174" s="6" t="s">
        <v>24</v>
      </c>
      <c r="F174" s="3"/>
      <c r="G174" s="3"/>
      <c r="H174" s="3"/>
      <c r="I174" s="3"/>
      <c r="J174" s="3"/>
      <c r="K174" s="3"/>
      <c r="L174" s="3"/>
    </row>
    <row r="175" spans="1:12" ht="12.75">
      <c r="A175" s="12">
        <f>G196</f>
        <v>17828.77635</v>
      </c>
      <c r="B175" s="12">
        <f>$B$169*0.5*$C$5*(0.5*$C$5-A180)/(0.5*$C$5)</f>
        <v>691.2707527689952</v>
      </c>
      <c r="C175" s="34">
        <f>$A$9*$E$9*($C$9-$A$21-0.5*$E$9)+$D$9*($C$9-$A$21-$E$9)*0.5*($C$9-$A$21-$E$9)</f>
        <v>910850359.3573734</v>
      </c>
      <c r="D175" s="8">
        <f>$D$13</f>
        <v>2258870.5600565844</v>
      </c>
      <c r="E175" s="8">
        <f>$F$13</f>
        <v>1794106015480.6829</v>
      </c>
      <c r="F175" s="73" t="s">
        <v>161</v>
      </c>
      <c r="G175" s="3"/>
      <c r="H175" s="3"/>
      <c r="I175" s="3"/>
      <c r="J175" s="3"/>
      <c r="K175" s="3"/>
      <c r="L175" s="3"/>
    </row>
    <row r="176" spans="1:12" ht="12.75">
      <c r="A176" s="12">
        <f>H196</f>
        <v>22403.4859125</v>
      </c>
      <c r="B176" s="12">
        <f>$B$169*0.5*$C$5*(0.5*$C$5-A181)/(0.5*$C$5)</f>
        <v>691.2707527689952</v>
      </c>
      <c r="C176" s="34">
        <f>$A$9*$E$9*($C$9-$A$21-0.5*$E$9)+$D$9*($C$9-$A$21-$E$9)*0.5*($C$9-$A$21-$E$9)</f>
        <v>910850359.3573734</v>
      </c>
      <c r="D176" s="8">
        <f>$D$13</f>
        <v>2258870.5600565844</v>
      </c>
      <c r="E176" s="8">
        <f>$F$13</f>
        <v>1794106015480.6829</v>
      </c>
      <c r="F176" s="73" t="s">
        <v>162</v>
      </c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4.25">
      <c r="A178" s="5" t="s">
        <v>96</v>
      </c>
      <c r="B178" s="21" t="s">
        <v>120</v>
      </c>
      <c r="C178" s="21" t="s">
        <v>121</v>
      </c>
      <c r="D178" s="21" t="s">
        <v>116</v>
      </c>
      <c r="E178" s="21" t="s">
        <v>117</v>
      </c>
      <c r="F178" s="3"/>
      <c r="G178" s="3"/>
      <c r="H178" s="3"/>
      <c r="I178" s="3"/>
      <c r="J178" s="3"/>
      <c r="K178" s="3"/>
      <c r="L178" s="3"/>
    </row>
    <row r="179" spans="1:12" ht="12.75">
      <c r="A179" s="15" t="s">
        <v>11</v>
      </c>
      <c r="B179" s="6" t="s">
        <v>118</v>
      </c>
      <c r="C179" s="6" t="s">
        <v>118</v>
      </c>
      <c r="D179" s="6" t="s">
        <v>118</v>
      </c>
      <c r="E179" s="6" t="s">
        <v>118</v>
      </c>
      <c r="F179" s="3"/>
      <c r="G179" s="3"/>
      <c r="H179" s="3"/>
      <c r="I179" s="3"/>
      <c r="J179" s="3"/>
      <c r="K179" s="3"/>
      <c r="L179" s="3"/>
    </row>
    <row r="180" spans="1:12" ht="12.75">
      <c r="A180" s="12">
        <v>0</v>
      </c>
      <c r="B180" s="12">
        <f>(B175*1000*C175)/(E175*$D$9)</f>
        <v>1.188267512502983</v>
      </c>
      <c r="C180" s="12">
        <f>1000*A175/D175</f>
        <v>7.892783528753145</v>
      </c>
      <c r="D180" s="13">
        <f>-$C180+0.5*SQRT($C180^2+4*$B180^2)</f>
        <v>-3.771377501775305</v>
      </c>
      <c r="E180" s="13">
        <f>ABS(-$C180-0.5*SQRT($C180^2+4*$B180^2))</f>
        <v>12.014189555730985</v>
      </c>
      <c r="F180" s="73" t="s">
        <v>161</v>
      </c>
      <c r="G180" s="3"/>
      <c r="H180" s="3"/>
      <c r="I180" s="3"/>
      <c r="J180" s="3"/>
      <c r="K180" s="3"/>
      <c r="L180" s="3"/>
    </row>
    <row r="181" spans="1:12" ht="12.75">
      <c r="A181" s="12">
        <v>0</v>
      </c>
      <c r="B181" s="12">
        <f>(B176*1000*C176)/(E176*$D$9)</f>
        <v>1.188267512502983</v>
      </c>
      <c r="C181" s="12">
        <f>1000*A176/D176</f>
        <v>9.918003407835284</v>
      </c>
      <c r="D181" s="13">
        <f>-$C181+0.5*SQRT($C181^2+4*$B181^2)</f>
        <v>-4.8186232905339565</v>
      </c>
      <c r="E181" s="13">
        <f>ABS(-$C181-0.5*SQRT($C181^2+4*$B181^2))</f>
        <v>15.017383525136612</v>
      </c>
      <c r="F181" s="73" t="s">
        <v>162</v>
      </c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62" t="s">
        <v>122</v>
      </c>
      <c r="E182" s="62" t="s">
        <v>123</v>
      </c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 t="s">
        <v>124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 t="s">
        <v>141</v>
      </c>
      <c r="B186" s="3"/>
      <c r="C186" s="3"/>
      <c r="D186" s="64" t="s">
        <v>127</v>
      </c>
      <c r="E186" s="65" t="s">
        <v>139</v>
      </c>
      <c r="F186" s="3"/>
      <c r="G186" s="3"/>
      <c r="H186" s="3" t="s">
        <v>131</v>
      </c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5" t="s">
        <v>61</v>
      </c>
      <c r="B188" s="5" t="s">
        <v>169</v>
      </c>
      <c r="C188" s="17"/>
      <c r="D188" s="63" t="s">
        <v>126</v>
      </c>
      <c r="E188" s="5" t="s">
        <v>170</v>
      </c>
      <c r="F188" s="5" t="s">
        <v>125</v>
      </c>
      <c r="G188" s="3"/>
      <c r="H188" s="5" t="s">
        <v>128</v>
      </c>
      <c r="I188" s="5" t="s">
        <v>129</v>
      </c>
      <c r="J188" s="5" t="s">
        <v>130</v>
      </c>
      <c r="K188" s="3"/>
      <c r="L188" s="3"/>
    </row>
    <row r="189" spans="1:12" ht="12.75">
      <c r="A189" s="6" t="s">
        <v>62</v>
      </c>
      <c r="B189" s="6" t="s">
        <v>62</v>
      </c>
      <c r="C189" s="18"/>
      <c r="D189" s="6" t="s">
        <v>9</v>
      </c>
      <c r="E189" s="6"/>
      <c r="F189" s="6" t="s">
        <v>15</v>
      </c>
      <c r="G189" s="3"/>
      <c r="H189" s="6" t="s">
        <v>62</v>
      </c>
      <c r="I189" s="6" t="s">
        <v>62</v>
      </c>
      <c r="J189" s="6" t="s">
        <v>62</v>
      </c>
      <c r="K189" s="3"/>
      <c r="L189" s="3"/>
    </row>
    <row r="190" spans="1:12" ht="12.75">
      <c r="A190" s="12">
        <f>$C$45</f>
        <v>16613.36259673641</v>
      </c>
      <c r="B190" s="12">
        <f>$E$39*$C$45</f>
        <v>19936.03511608369</v>
      </c>
      <c r="C190" s="35"/>
      <c r="D190" s="61">
        <v>15</v>
      </c>
      <c r="E190" s="34">
        <v>19</v>
      </c>
      <c r="F190" s="8">
        <f>E190*D190*D190*3.1416/4</f>
        <v>3357.585</v>
      </c>
      <c r="G190" s="3"/>
      <c r="H190" s="8">
        <f>A39*F190*0.001</f>
        <v>5942.925450000001</v>
      </c>
      <c r="I190" s="8">
        <f>0.6*A39*F190*0.001</f>
        <v>3565.75527</v>
      </c>
      <c r="J190" s="8">
        <f>0.85*B39*F190*0.001</f>
        <v>4480.6971825</v>
      </c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 t="s">
        <v>140</v>
      </c>
      <c r="B192" s="3"/>
      <c r="C192" s="3"/>
      <c r="D192" s="3"/>
      <c r="E192" s="3"/>
      <c r="F192" s="3" t="s">
        <v>132</v>
      </c>
      <c r="G192" s="3"/>
      <c r="H192" s="3"/>
      <c r="I192" s="3"/>
      <c r="J192" s="3" t="s">
        <v>136</v>
      </c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5" t="s">
        <v>144</v>
      </c>
      <c r="B194" s="5" t="s">
        <v>145</v>
      </c>
      <c r="C194" s="5" t="s">
        <v>146</v>
      </c>
      <c r="D194" s="5" t="s">
        <v>147</v>
      </c>
      <c r="E194" s="3"/>
      <c r="F194" s="5" t="s">
        <v>133</v>
      </c>
      <c r="G194" s="5" t="s">
        <v>142</v>
      </c>
      <c r="H194" s="5" t="s">
        <v>143</v>
      </c>
      <c r="I194" s="3"/>
      <c r="J194" s="5" t="s">
        <v>137</v>
      </c>
      <c r="K194" s="5" t="s">
        <v>138</v>
      </c>
      <c r="L194" s="5" t="s">
        <v>17</v>
      </c>
    </row>
    <row r="195" spans="1:12" ht="12.75">
      <c r="A195" s="6" t="s">
        <v>62</v>
      </c>
      <c r="B195" s="6" t="s">
        <v>62</v>
      </c>
      <c r="C195" s="6"/>
      <c r="D195" s="6"/>
      <c r="E195" s="3"/>
      <c r="F195" s="6"/>
      <c r="G195" s="6" t="s">
        <v>62</v>
      </c>
      <c r="H195" s="6" t="s">
        <v>62</v>
      </c>
      <c r="I195" s="3"/>
      <c r="J195" s="6" t="s">
        <v>9</v>
      </c>
      <c r="K195" s="6" t="s">
        <v>9</v>
      </c>
      <c r="L195" s="6" t="s">
        <v>9</v>
      </c>
    </row>
    <row r="196" spans="1:12" ht="12.75">
      <c r="A196" s="12">
        <f>0.001*$D$39*(($D$190/2)^2)*3.1416</f>
        <v>187.67133</v>
      </c>
      <c r="B196" s="12">
        <f>0.001*$C$39*(($D$190/2)^2)*3.1416</f>
        <v>235.8261675</v>
      </c>
      <c r="C196" s="7">
        <f>A190/A196</f>
        <v>88.52371108968221</v>
      </c>
      <c r="D196" s="7">
        <f>B190/B196</f>
        <v>84.5369931904766</v>
      </c>
      <c r="E196" s="3"/>
      <c r="F196" s="8">
        <v>5</v>
      </c>
      <c r="G196" s="13">
        <f>F196*$I$190</f>
        <v>17828.77635</v>
      </c>
      <c r="H196" s="13">
        <f>F196*$J$190</f>
        <v>22403.4859125</v>
      </c>
      <c r="I196" s="3"/>
      <c r="J196" s="34">
        <v>95</v>
      </c>
      <c r="K196" s="8">
        <v>102</v>
      </c>
      <c r="L196" s="34">
        <v>3</v>
      </c>
    </row>
    <row r="197" spans="1:12" ht="12.75">
      <c r="A197" s="3"/>
      <c r="B197" s="3"/>
      <c r="C197" s="3"/>
      <c r="D197" s="3"/>
      <c r="E197" s="3"/>
      <c r="F197" s="3"/>
      <c r="G197" s="62" t="s">
        <v>135</v>
      </c>
      <c r="H197" s="62" t="s">
        <v>134</v>
      </c>
      <c r="I197" s="3"/>
      <c r="J197" s="3"/>
      <c r="K197" s="62" t="s">
        <v>148</v>
      </c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 t="s">
        <v>149</v>
      </c>
      <c r="B199" s="3"/>
      <c r="C199" s="3"/>
      <c r="D199" s="3"/>
      <c r="E199" s="3"/>
      <c r="F199" s="3"/>
      <c r="G199" s="3"/>
      <c r="H199" s="32" t="s">
        <v>158</v>
      </c>
      <c r="I199" s="3"/>
      <c r="J199" s="32" t="s">
        <v>159</v>
      </c>
      <c r="K199" s="3"/>
      <c r="L199" s="32" t="s">
        <v>160</v>
      </c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4.25">
      <c r="A201" s="5" t="s">
        <v>150</v>
      </c>
      <c r="B201" s="21" t="s">
        <v>46</v>
      </c>
      <c r="C201" s="5" t="s">
        <v>96</v>
      </c>
      <c r="D201" s="5" t="s">
        <v>155</v>
      </c>
      <c r="E201" s="21" t="s">
        <v>101</v>
      </c>
      <c r="F201" s="5" t="s">
        <v>153</v>
      </c>
      <c r="G201" s="3"/>
      <c r="H201" s="14" t="s">
        <v>157</v>
      </c>
      <c r="I201" s="68"/>
      <c r="J201" s="70" t="s">
        <v>156</v>
      </c>
      <c r="K201" s="71"/>
      <c r="L201" s="21" t="s">
        <v>156</v>
      </c>
    </row>
    <row r="202" spans="1:12" ht="12.75">
      <c r="A202" s="6"/>
      <c r="B202" s="6" t="s">
        <v>152</v>
      </c>
      <c r="C202" s="6" t="s">
        <v>11</v>
      </c>
      <c r="D202" s="6"/>
      <c r="E202" s="6" t="s">
        <v>154</v>
      </c>
      <c r="F202" s="6" t="s">
        <v>154</v>
      </c>
      <c r="G202" s="3"/>
      <c r="H202" s="15" t="s">
        <v>62</v>
      </c>
      <c r="I202" s="42"/>
      <c r="J202" s="40" t="s">
        <v>62</v>
      </c>
      <c r="K202" s="23"/>
      <c r="L202" s="6" t="s">
        <v>62</v>
      </c>
    </row>
    <row r="203" spans="1:12" ht="12.75">
      <c r="A203" s="61">
        <v>0.3</v>
      </c>
      <c r="B203" s="10">
        <v>0.01</v>
      </c>
      <c r="C203" s="61">
        <v>0</v>
      </c>
      <c r="D203" s="12">
        <f>4*$I$71*0.001*(1-(2*C203/$C$5))/$C$5</f>
        <v>0.1217191505794377</v>
      </c>
      <c r="E203" s="12">
        <f>ATAN(D203)</f>
        <v>0.12112332604077689</v>
      </c>
      <c r="F203" s="12">
        <f>2*E203</f>
        <v>0.24224665208155377</v>
      </c>
      <c r="G203" s="3"/>
      <c r="H203" s="74">
        <f>H196</f>
        <v>22403.4859125</v>
      </c>
      <c r="I203" s="69"/>
      <c r="J203" s="45">
        <f>$H$203*(1-EXP(-$A$203*($E$203+$B$203*$C$5)))</f>
        <v>3307.28194706765</v>
      </c>
      <c r="K203" s="24"/>
      <c r="L203" s="13">
        <f>$H$203*(1-EXP(-$A$203*($F$203+$B$203*$C$5)))</f>
        <v>3988.724894824403</v>
      </c>
    </row>
    <row r="204" spans="1:12" ht="12.75">
      <c r="A204" s="62" t="s">
        <v>151</v>
      </c>
      <c r="B204" s="3"/>
      <c r="C204" s="3"/>
      <c r="D204" s="3"/>
      <c r="E204" s="3"/>
      <c r="F204" s="3"/>
      <c r="G204" s="3"/>
      <c r="H204" s="3"/>
      <c r="I204" s="3"/>
      <c r="J204" s="72">
        <f>J203/H203</f>
        <v>0.1476235421569978</v>
      </c>
      <c r="K204" s="3"/>
      <c r="L204" s="72">
        <f>L203/H203</f>
        <v>0.1780403688248755</v>
      </c>
    </row>
  </sheetData>
  <printOptions horizontalCentered="1"/>
  <pageMargins left="0.3937007874015748" right="0.1968503937007874" top="0.984251968503937" bottom="0.5905511811023623" header="0.5118110236220472" footer="0.5118110236220472"/>
  <pageSetup fitToHeight="2" fitToWidth="1" horizontalDpi="300" verticalDpi="300" orientation="landscape" paperSize="9" scale="7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"/>
  <sheetViews>
    <sheetView workbookViewId="0" topLeftCell="A19">
      <selection activeCell="D43" sqref="D43"/>
    </sheetView>
  </sheetViews>
  <sheetFormatPr defaultColWidth="9.140625" defaultRowHeight="12.75"/>
  <cols>
    <col min="1" max="12" width="14.7109375" style="0" customWidth="1"/>
    <col min="14" max="15" width="9.57421875" style="0" bestFit="1" customWidth="1"/>
  </cols>
  <sheetData>
    <row r="1" spans="1:12" ht="12.75">
      <c r="A1" s="1" t="s">
        <v>0</v>
      </c>
      <c r="B1" s="2"/>
      <c r="C1" s="1" t="s">
        <v>167</v>
      </c>
      <c r="D1" s="3"/>
      <c r="E1" s="3"/>
      <c r="F1" s="3"/>
      <c r="G1" s="4"/>
      <c r="H1" s="3"/>
      <c r="I1" s="3"/>
      <c r="J1" s="3"/>
      <c r="K1" s="3"/>
      <c r="L1" s="3"/>
    </row>
    <row r="2" spans="1:12" ht="12.75">
      <c r="A2" s="1"/>
      <c r="B2" s="2"/>
      <c r="C2" s="3"/>
      <c r="D2" s="3"/>
      <c r="E2" s="3"/>
      <c r="F2" s="3"/>
      <c r="G2" s="4"/>
      <c r="H2" s="3"/>
      <c r="I2" s="3"/>
      <c r="J2" s="3"/>
      <c r="K2" s="3"/>
      <c r="L2" s="3"/>
    </row>
    <row r="3" spans="1:12" ht="12.75">
      <c r="A3" s="5" t="s">
        <v>10</v>
      </c>
      <c r="B3" s="5" t="s">
        <v>17</v>
      </c>
      <c r="C3" s="5" t="s">
        <v>85</v>
      </c>
      <c r="D3" s="5" t="s">
        <v>84</v>
      </c>
      <c r="E3" s="17"/>
      <c r="F3" s="17"/>
      <c r="G3" s="17"/>
      <c r="H3" s="17"/>
      <c r="I3" s="3"/>
      <c r="J3" s="3"/>
      <c r="K3" s="3"/>
      <c r="L3" s="3"/>
    </row>
    <row r="4" spans="1:12" ht="12.75">
      <c r="A4" s="6" t="s">
        <v>11</v>
      </c>
      <c r="B4" s="6" t="s">
        <v>11</v>
      </c>
      <c r="C4" s="6" t="s">
        <v>11</v>
      </c>
      <c r="D4" s="6" t="s">
        <v>11</v>
      </c>
      <c r="E4" s="18"/>
      <c r="F4" s="18"/>
      <c r="G4" s="18"/>
      <c r="H4" s="18"/>
      <c r="I4" s="3"/>
      <c r="J4" s="3"/>
      <c r="K4" s="3"/>
      <c r="L4" s="3"/>
    </row>
    <row r="5" spans="1:12" ht="12.75">
      <c r="A5" s="11">
        <v>42.53</v>
      </c>
      <c r="B5" s="12">
        <v>1.4</v>
      </c>
      <c r="C5" s="12">
        <f>A5-B5</f>
        <v>41.13</v>
      </c>
      <c r="D5" s="12">
        <f>B5/2</f>
        <v>0.7</v>
      </c>
      <c r="E5" s="19"/>
      <c r="F5" s="20"/>
      <c r="G5" s="20"/>
      <c r="H5" s="20"/>
      <c r="I5" s="3"/>
      <c r="J5" s="3"/>
      <c r="K5" s="3"/>
      <c r="L5" s="3"/>
    </row>
    <row r="6" spans="1:12" ht="12.75">
      <c r="A6" s="1"/>
      <c r="B6" s="2"/>
      <c r="C6" s="3"/>
      <c r="D6" s="3"/>
      <c r="E6" s="3"/>
      <c r="F6" s="3"/>
      <c r="G6" s="4"/>
      <c r="H6" s="3"/>
      <c r="I6" s="3"/>
      <c r="J6" s="3"/>
      <c r="K6" s="3"/>
      <c r="L6" s="3"/>
    </row>
    <row r="7" spans="1:12" ht="12.7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3"/>
      <c r="J7" s="3"/>
      <c r="K7" s="3"/>
      <c r="L7" s="3"/>
    </row>
    <row r="8" spans="1:12" ht="12.75">
      <c r="A8" s="6" t="s">
        <v>9</v>
      </c>
      <c r="B8" s="6" t="s">
        <v>9</v>
      </c>
      <c r="C8" s="6" t="s">
        <v>9</v>
      </c>
      <c r="D8" s="6" t="s">
        <v>9</v>
      </c>
      <c r="E8" s="6" t="s">
        <v>9</v>
      </c>
      <c r="F8" s="6" t="s">
        <v>9</v>
      </c>
      <c r="G8" s="6" t="s">
        <v>9</v>
      </c>
      <c r="H8" s="6" t="s">
        <v>9</v>
      </c>
      <c r="I8" s="3"/>
      <c r="J8" s="3"/>
      <c r="K8" s="3"/>
      <c r="L8" s="3"/>
    </row>
    <row r="9" spans="1:12" ht="12.75">
      <c r="A9" s="7">
        <v>5000</v>
      </c>
      <c r="B9" s="8">
        <f>0.45*A9</f>
        <v>2250</v>
      </c>
      <c r="C9" s="8">
        <f>A5*1000/15</f>
        <v>2835.3333333333335</v>
      </c>
      <c r="D9" s="8">
        <v>320</v>
      </c>
      <c r="E9" s="9">
        <v>250</v>
      </c>
      <c r="F9" s="8">
        <v>320</v>
      </c>
      <c r="G9" s="8">
        <f>C9-(E9+F9)</f>
        <v>2265.3333333333335</v>
      </c>
      <c r="H9" s="8">
        <f>C9/7</f>
        <v>405.0476190476191</v>
      </c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5" t="s">
        <v>12</v>
      </c>
      <c r="B11" s="5" t="s">
        <v>13</v>
      </c>
      <c r="C11" s="5" t="s">
        <v>14</v>
      </c>
      <c r="D11" s="5" t="s">
        <v>81</v>
      </c>
      <c r="E11" s="5" t="s">
        <v>82</v>
      </c>
      <c r="F11" s="5" t="s">
        <v>86</v>
      </c>
      <c r="G11" s="17"/>
      <c r="H11" s="5" t="s">
        <v>16</v>
      </c>
      <c r="I11" s="5" t="s">
        <v>83</v>
      </c>
      <c r="J11" s="5" t="s">
        <v>19</v>
      </c>
      <c r="K11" s="21" t="s">
        <v>21</v>
      </c>
      <c r="L11" s="5" t="s">
        <v>20</v>
      </c>
    </row>
    <row r="12" spans="1:12" ht="12.75">
      <c r="A12" s="6" t="s">
        <v>15</v>
      </c>
      <c r="B12" s="6" t="s">
        <v>15</v>
      </c>
      <c r="C12" s="6" t="s">
        <v>15</v>
      </c>
      <c r="D12" s="6" t="s">
        <v>15</v>
      </c>
      <c r="E12" s="6" t="s">
        <v>15</v>
      </c>
      <c r="F12" s="6" t="s">
        <v>24</v>
      </c>
      <c r="G12" s="18"/>
      <c r="H12" s="6" t="s">
        <v>18</v>
      </c>
      <c r="I12" s="6" t="s">
        <v>18</v>
      </c>
      <c r="J12" s="6" t="s">
        <v>18</v>
      </c>
      <c r="K12" s="6" t="s">
        <v>22</v>
      </c>
      <c r="L12" s="6" t="s">
        <v>23</v>
      </c>
    </row>
    <row r="13" spans="1:12" ht="12.75">
      <c r="A13" s="7">
        <f>A9*E9</f>
        <v>1250000</v>
      </c>
      <c r="B13" s="8">
        <f>B9*F9</f>
        <v>720000</v>
      </c>
      <c r="C13" s="8">
        <f>D9*G9</f>
        <v>724906.6666666667</v>
      </c>
      <c r="D13" s="8">
        <f>A13+B13+C13</f>
        <v>2694906.666666667</v>
      </c>
      <c r="E13" s="7">
        <f>((A9+B9)*(G9+F9)/2)+A9*E9</f>
        <v>10621833.333333334</v>
      </c>
      <c r="F13" s="7">
        <f>A17+B17+C17+D17+E17+F17</f>
        <v>3350285704694.656</v>
      </c>
      <c r="G13" s="26"/>
      <c r="H13" s="11">
        <f>(D13*0.000001)*C5</f>
        <v>110.84151120000001</v>
      </c>
      <c r="I13" s="12">
        <f>(E13*0.000001)*B5</f>
        <v>14.870566666666665</v>
      </c>
      <c r="J13" s="12">
        <f>H13+I13</f>
        <v>125.71207786666668</v>
      </c>
      <c r="K13" s="12">
        <v>25</v>
      </c>
      <c r="L13" s="13">
        <f>J13*K13/A5</f>
        <v>73.8961191315934</v>
      </c>
    </row>
    <row r="14" spans="1:12" ht="12.75">
      <c r="A14" s="25"/>
      <c r="B14" s="26"/>
      <c r="C14" s="26"/>
      <c r="D14" s="26"/>
      <c r="E14" s="25"/>
      <c r="F14" s="26"/>
      <c r="G14" s="26"/>
      <c r="H14" s="27"/>
      <c r="I14" s="20"/>
      <c r="J14" s="20"/>
      <c r="K14" s="20"/>
      <c r="L14" s="19"/>
    </row>
    <row r="15" spans="1:12" ht="12.75">
      <c r="A15" s="5" t="s">
        <v>50</v>
      </c>
      <c r="B15" s="5" t="s">
        <v>51</v>
      </c>
      <c r="C15" s="5" t="s">
        <v>52</v>
      </c>
      <c r="D15" s="5" t="s">
        <v>53</v>
      </c>
      <c r="E15" s="5" t="s">
        <v>54</v>
      </c>
      <c r="F15" s="5" t="s">
        <v>55</v>
      </c>
      <c r="G15" s="26"/>
      <c r="H15" s="27"/>
      <c r="I15" s="20"/>
      <c r="J15" s="20"/>
      <c r="K15" s="20"/>
      <c r="L15" s="19"/>
    </row>
    <row r="16" spans="1:12" ht="12.75">
      <c r="A16" s="15" t="s">
        <v>24</v>
      </c>
      <c r="B16" s="15" t="s">
        <v>24</v>
      </c>
      <c r="C16" s="6" t="s">
        <v>24</v>
      </c>
      <c r="D16" s="6" t="s">
        <v>24</v>
      </c>
      <c r="E16" s="6" t="s">
        <v>24</v>
      </c>
      <c r="F16" s="6" t="s">
        <v>24</v>
      </c>
      <c r="G16" s="26"/>
      <c r="H16" s="27"/>
      <c r="I16" s="20"/>
      <c r="J16" s="20"/>
      <c r="K16" s="20"/>
      <c r="L16" s="19"/>
    </row>
    <row r="17" spans="1:12" ht="12.75">
      <c r="A17" s="7">
        <f>A9*(E9^3)/12</f>
        <v>6510416666.666667</v>
      </c>
      <c r="B17" s="7">
        <f>B9*(F9^3)/12</f>
        <v>6144000000</v>
      </c>
      <c r="C17" s="7">
        <f>D9*(G9^3)/12</f>
        <v>310002416134.32104</v>
      </c>
      <c r="D17" s="7">
        <f>A13*((C9-0.5*E9-A21)^2)</f>
        <v>1299673269893.889</v>
      </c>
      <c r="E17" s="7">
        <f>B13*((A21-0.5*F9)^2)</f>
        <v>1686897119715.7202</v>
      </c>
      <c r="F17" s="7">
        <f>C13*((F9+0.5*G9-A21)^2)</f>
        <v>41058482284.05927</v>
      </c>
      <c r="G17" s="26"/>
      <c r="H17" s="27"/>
      <c r="I17" s="20"/>
      <c r="J17" s="20"/>
      <c r="K17" s="20"/>
      <c r="L17" s="19"/>
    </row>
    <row r="18" spans="1:12" ht="12.75">
      <c r="A18" s="25"/>
      <c r="B18" s="26"/>
      <c r="C18" s="26"/>
      <c r="D18" s="26"/>
      <c r="E18" s="25"/>
      <c r="F18" s="26"/>
      <c r="G18" s="26"/>
      <c r="H18" s="27"/>
      <c r="I18" s="20"/>
      <c r="J18" s="20"/>
      <c r="K18" s="20"/>
      <c r="L18" s="19"/>
    </row>
    <row r="19" spans="1:12" ht="14.25">
      <c r="A19" s="21" t="s">
        <v>7</v>
      </c>
      <c r="B19" s="26"/>
      <c r="C19" s="26"/>
      <c r="D19" s="26"/>
      <c r="E19" s="25"/>
      <c r="F19" s="26"/>
      <c r="G19" s="26"/>
      <c r="H19" s="27"/>
      <c r="I19" s="20"/>
      <c r="J19" s="20"/>
      <c r="K19" s="20"/>
      <c r="L19" s="19"/>
    </row>
    <row r="20" spans="1:12" ht="12.75">
      <c r="A20" s="6" t="s">
        <v>9</v>
      </c>
      <c r="B20" s="26"/>
      <c r="C20" s="26"/>
      <c r="D20" s="26"/>
      <c r="E20" s="25"/>
      <c r="F20" s="26"/>
      <c r="G20" s="26"/>
      <c r="H20" s="27"/>
      <c r="I20" s="20"/>
      <c r="J20" s="20"/>
      <c r="K20" s="20"/>
      <c r="L20" s="19"/>
    </row>
    <row r="21" spans="1:12" ht="12.75">
      <c r="A21" s="7">
        <f>(A13*(C9-0.5*E9)+B13*0.5*F9+C13*(F9+0.5*G9))/(A13+B13+C13)</f>
        <v>1690.6575927593453</v>
      </c>
      <c r="B21" s="26"/>
      <c r="C21" s="26"/>
      <c r="D21" s="26"/>
      <c r="E21" s="25"/>
      <c r="F21" s="26"/>
      <c r="G21" s="26"/>
      <c r="H21" s="27"/>
      <c r="I21" s="20"/>
      <c r="J21" s="20"/>
      <c r="K21" s="20"/>
      <c r="L21" s="19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1" t="s">
        <v>25</v>
      </c>
      <c r="B23" s="2"/>
      <c r="C23" s="3"/>
      <c r="D23" s="3"/>
      <c r="E23" s="3"/>
      <c r="F23" s="3"/>
      <c r="G23" s="3"/>
      <c r="H23" s="3" t="s">
        <v>56</v>
      </c>
      <c r="I23" s="3"/>
      <c r="J23" s="3"/>
      <c r="K23" s="3"/>
      <c r="L23" s="3"/>
    </row>
    <row r="24" spans="1:12" ht="12.75">
      <c r="A24" s="1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5" t="s">
        <v>20</v>
      </c>
      <c r="B25" s="5" t="s">
        <v>26</v>
      </c>
      <c r="C25" s="14" t="s">
        <v>27</v>
      </c>
      <c r="D25" s="22"/>
      <c r="E25" s="5" t="s">
        <v>28</v>
      </c>
      <c r="F25" s="5" t="s">
        <v>29</v>
      </c>
      <c r="G25" s="3"/>
      <c r="H25" s="5" t="s">
        <v>57</v>
      </c>
      <c r="I25" s="5" t="s">
        <v>58</v>
      </c>
      <c r="J25" s="3"/>
      <c r="K25" s="3"/>
      <c r="L25" s="3"/>
    </row>
    <row r="26" spans="1:12" ht="12.75">
      <c r="A26" s="6" t="s">
        <v>23</v>
      </c>
      <c r="B26" s="6" t="s">
        <v>23</v>
      </c>
      <c r="C26" s="6" t="s">
        <v>23</v>
      </c>
      <c r="D26" s="23"/>
      <c r="E26" s="6" t="s">
        <v>23</v>
      </c>
      <c r="F26" s="6" t="s">
        <v>23</v>
      </c>
      <c r="G26" s="3"/>
      <c r="H26" s="6" t="s">
        <v>59</v>
      </c>
      <c r="I26" s="6" t="s">
        <v>59</v>
      </c>
      <c r="J26" s="3"/>
      <c r="K26" s="3"/>
      <c r="L26" s="3"/>
    </row>
    <row r="27" spans="1:12" ht="12.75">
      <c r="A27" s="11">
        <f>L13</f>
        <v>73.8961191315934</v>
      </c>
      <c r="B27" s="12">
        <v>20</v>
      </c>
      <c r="C27" s="16">
        <v>50</v>
      </c>
      <c r="D27" s="24"/>
      <c r="E27" s="13">
        <f>A27+B27</f>
        <v>93.8961191315934</v>
      </c>
      <c r="F27" s="13">
        <f>C27</f>
        <v>50</v>
      </c>
      <c r="G27" s="3"/>
      <c r="H27" s="13">
        <f>A27*C5*C5/8</f>
        <v>15626.044716820577</v>
      </c>
      <c r="I27" s="13">
        <f>(E27+F27)*C5*C5/8</f>
        <v>30428.21759182058</v>
      </c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7.25">
      <c r="A31" s="5" t="s">
        <v>31</v>
      </c>
      <c r="B31" s="5" t="s">
        <v>32</v>
      </c>
      <c r="C31" s="28" t="s">
        <v>33</v>
      </c>
      <c r="D31" s="28" t="s">
        <v>34</v>
      </c>
      <c r="E31" s="28" t="s">
        <v>35</v>
      </c>
      <c r="F31" s="29" t="s">
        <v>36</v>
      </c>
      <c r="G31" s="5" t="s">
        <v>37</v>
      </c>
      <c r="H31" s="5" t="s">
        <v>38</v>
      </c>
      <c r="I31" s="3"/>
      <c r="J31" s="3"/>
      <c r="K31" s="3"/>
      <c r="L31" s="3"/>
    </row>
    <row r="32" spans="1:12" ht="12.75">
      <c r="A32" s="6" t="s">
        <v>39</v>
      </c>
      <c r="B32" s="6" t="s">
        <v>39</v>
      </c>
      <c r="C32" s="6" t="s">
        <v>39</v>
      </c>
      <c r="D32" s="6" t="s">
        <v>39</v>
      </c>
      <c r="E32" s="6" t="s">
        <v>39</v>
      </c>
      <c r="F32" s="15" t="s">
        <v>39</v>
      </c>
      <c r="G32" s="6" t="s">
        <v>39</v>
      </c>
      <c r="H32" s="6" t="s">
        <v>39</v>
      </c>
      <c r="I32" s="3"/>
      <c r="J32" s="3"/>
      <c r="K32" s="3"/>
      <c r="L32" s="3"/>
    </row>
    <row r="33" spans="1:12" ht="12.75">
      <c r="A33" s="10">
        <v>50</v>
      </c>
      <c r="B33" s="10">
        <f>0.85*A33</f>
        <v>42.5</v>
      </c>
      <c r="C33" s="10">
        <f>0.48*B33</f>
        <v>20.4</v>
      </c>
      <c r="D33" s="10">
        <f>0.08*B33</f>
        <v>3.4</v>
      </c>
      <c r="E33" s="10">
        <f>0.38*A33</f>
        <v>19</v>
      </c>
      <c r="F33" s="30">
        <f>0.06*A33</f>
        <v>3</v>
      </c>
      <c r="G33" s="10">
        <f>0.83*A33</f>
        <v>41.5</v>
      </c>
      <c r="H33" s="31">
        <f>9500*((G33+8)^(1/3))</f>
        <v>34881.24719473732</v>
      </c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 t="s">
        <v>40</v>
      </c>
      <c r="B35" s="3"/>
      <c r="C35" s="3"/>
      <c r="D35" s="3"/>
      <c r="E35" s="3"/>
      <c r="F35" s="3"/>
      <c r="G35" s="32" t="s">
        <v>41</v>
      </c>
      <c r="H35" s="3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7.25">
      <c r="A37" s="5" t="s">
        <v>42</v>
      </c>
      <c r="B37" s="5" t="s">
        <v>43</v>
      </c>
      <c r="C37" s="28" t="s">
        <v>44</v>
      </c>
      <c r="D37" s="28" t="s">
        <v>45</v>
      </c>
      <c r="E37" s="21" t="s">
        <v>46</v>
      </c>
      <c r="F37" s="17"/>
      <c r="G37" s="28" t="s">
        <v>47</v>
      </c>
      <c r="H37" s="28" t="s">
        <v>48</v>
      </c>
      <c r="I37" s="3"/>
      <c r="J37" s="3"/>
      <c r="K37" s="3"/>
      <c r="L37" s="3"/>
    </row>
    <row r="38" spans="1:12" ht="12.75">
      <c r="A38" s="6" t="s">
        <v>39</v>
      </c>
      <c r="B38" s="6" t="s">
        <v>39</v>
      </c>
      <c r="C38" s="6" t="s">
        <v>39</v>
      </c>
      <c r="D38" s="6" t="s">
        <v>39</v>
      </c>
      <c r="E38" s="6" t="s">
        <v>49</v>
      </c>
      <c r="F38" s="18"/>
      <c r="G38" s="6" t="s">
        <v>39</v>
      </c>
      <c r="H38" s="6" t="s">
        <v>39</v>
      </c>
      <c r="I38" s="3"/>
      <c r="J38" s="3"/>
      <c r="K38" s="3"/>
      <c r="L38" s="3"/>
    </row>
    <row r="39" spans="1:12" ht="12.75">
      <c r="A39" s="10">
        <v>1770</v>
      </c>
      <c r="B39" s="10">
        <v>1570</v>
      </c>
      <c r="C39" s="10">
        <f>0.85*B39</f>
        <v>1334.5</v>
      </c>
      <c r="D39" s="10">
        <f>0.6*A39</f>
        <v>1062</v>
      </c>
      <c r="E39" s="34">
        <v>1.2</v>
      </c>
      <c r="F39" s="35"/>
      <c r="G39" s="10">
        <v>215</v>
      </c>
      <c r="H39" s="10">
        <v>175</v>
      </c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 t="s">
        <v>60</v>
      </c>
      <c r="B41" s="3"/>
      <c r="C41" s="3"/>
      <c r="D41" s="3"/>
      <c r="E41" s="46" t="s">
        <v>63</v>
      </c>
      <c r="F41" s="3"/>
      <c r="G41" s="3"/>
      <c r="H41" s="75" t="s">
        <v>163</v>
      </c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52"/>
      <c r="I42" s="3"/>
      <c r="J42" s="3"/>
      <c r="K42" s="3"/>
      <c r="L42" s="3"/>
    </row>
    <row r="43" spans="1:12" ht="15">
      <c r="A43" s="14" t="s">
        <v>1</v>
      </c>
      <c r="B43" s="41"/>
      <c r="C43" s="39" t="s">
        <v>61</v>
      </c>
      <c r="D43" s="22"/>
      <c r="E43" s="17"/>
      <c r="F43" s="17"/>
      <c r="G43" s="17"/>
      <c r="H43" s="5" t="s">
        <v>164</v>
      </c>
      <c r="I43" s="3"/>
      <c r="J43" s="63" t="s">
        <v>165</v>
      </c>
      <c r="K43" s="3"/>
      <c r="L43" s="3"/>
    </row>
    <row r="44" spans="1:12" ht="12.75">
      <c r="A44" s="15" t="s">
        <v>9</v>
      </c>
      <c r="B44" s="42"/>
      <c r="C44" s="40" t="s">
        <v>62</v>
      </c>
      <c r="D44" s="23"/>
      <c r="E44" s="18"/>
      <c r="F44" s="18"/>
      <c r="G44" s="18"/>
      <c r="H44" s="6" t="s">
        <v>15</v>
      </c>
      <c r="I44" s="62" t="s">
        <v>166</v>
      </c>
      <c r="J44" s="6"/>
      <c r="K44" s="3"/>
      <c r="L44" s="3"/>
    </row>
    <row r="45" spans="1:12" ht="12.75">
      <c r="A45" s="44">
        <f>A9</f>
        <v>5000</v>
      </c>
      <c r="B45" s="43"/>
      <c r="C45" s="45">
        <f>H203</f>
        <v>22403.4859125</v>
      </c>
      <c r="D45" s="38"/>
      <c r="E45" s="37"/>
      <c r="F45" s="26"/>
      <c r="G45" s="26"/>
      <c r="H45" s="9">
        <f>F61</f>
        <v>1444.9066666666668</v>
      </c>
      <c r="I45" s="3"/>
      <c r="J45" s="9">
        <f>H45/201</f>
        <v>7.188590381426203</v>
      </c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 t="s">
        <v>64</v>
      </c>
      <c r="B48" s="3"/>
      <c r="C48" s="3"/>
      <c r="D48" s="3" t="s">
        <v>79</v>
      </c>
      <c r="E48" s="3"/>
      <c r="F48" s="3"/>
      <c r="G48" s="3"/>
      <c r="H48" s="3" t="s">
        <v>80</v>
      </c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47" t="s">
        <v>65</v>
      </c>
      <c r="E50" s="3"/>
      <c r="F50" s="47" t="s">
        <v>66</v>
      </c>
      <c r="G50" s="3"/>
      <c r="H50" s="47" t="s">
        <v>73</v>
      </c>
      <c r="I50" s="3"/>
      <c r="J50" s="47" t="s">
        <v>74</v>
      </c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7.25">
      <c r="A52" s="14" t="s">
        <v>67</v>
      </c>
      <c r="B52" s="5" t="s">
        <v>68</v>
      </c>
      <c r="C52" s="48"/>
      <c r="D52" s="28" t="s">
        <v>69</v>
      </c>
      <c r="E52" s="17"/>
      <c r="F52" s="28" t="s">
        <v>70</v>
      </c>
      <c r="G52" s="48"/>
      <c r="H52" s="28" t="s">
        <v>75</v>
      </c>
      <c r="I52" s="17"/>
      <c r="J52" s="28" t="s">
        <v>76</v>
      </c>
      <c r="K52" s="3"/>
      <c r="L52" s="3"/>
    </row>
    <row r="53" spans="1:12" ht="12.75">
      <c r="A53" s="15" t="s">
        <v>9</v>
      </c>
      <c r="B53" s="6" t="s">
        <v>9</v>
      </c>
      <c r="C53" s="18"/>
      <c r="D53" s="6" t="s">
        <v>39</v>
      </c>
      <c r="E53" s="18"/>
      <c r="F53" s="6" t="s">
        <v>39</v>
      </c>
      <c r="G53" s="18"/>
      <c r="H53" s="6" t="s">
        <v>39</v>
      </c>
      <c r="I53" s="18"/>
      <c r="J53" s="6" t="s">
        <v>39</v>
      </c>
      <c r="K53" s="3"/>
      <c r="L53" s="3"/>
    </row>
    <row r="54" spans="1:12" ht="12.75">
      <c r="A54" s="36">
        <f>C9-A21</f>
        <v>1144.6757405739882</v>
      </c>
      <c r="B54" s="7">
        <f>A21</f>
        <v>1690.6575927593453</v>
      </c>
      <c r="C54" s="49"/>
      <c r="D54" s="50">
        <f>-($E$39*$C$45*1000/$D$13)+($E$39*$C$45*1000*($A$21-$H$9)*$A$54/$F$13)-($H$27*1000*1000*$A$54/$F$13)</f>
        <v>-3.5059722573341796</v>
      </c>
      <c r="E54" s="26"/>
      <c r="F54" s="50">
        <f>($E$39*$C$45*1000/$D$13)+($E$39*$C$45*1000*($A$21-$H$9)*$B$54/$F$13)-($H$27*1000*1000*$B$54/$F$13)</f>
        <v>19.531880853104933</v>
      </c>
      <c r="G54" s="49"/>
      <c r="H54" s="50">
        <f>($C$45*1000/$D$13)-($C$45*1000*($A$21-$H$9)*$A$54/$F$13)+($I$27*1000*1000*$A$54/$F$13)</f>
        <v>8.868841987587038</v>
      </c>
      <c r="I54" s="26"/>
      <c r="J54" s="50">
        <f>-($C$45*1000/$D$13)-($C$45*1000*($A$21-$H$9)*$B$54/$F$13)+($I$27*1000*1000*$B$54/$F$13)</f>
        <v>-7.492703230290122</v>
      </c>
      <c r="K54" s="3"/>
      <c r="L54" s="3"/>
    </row>
    <row r="55" spans="1:12" ht="12.75">
      <c r="A55" s="26"/>
      <c r="B55" s="25"/>
      <c r="C55" s="49"/>
      <c r="D55" s="51" t="s">
        <v>71</v>
      </c>
      <c r="E55" s="26"/>
      <c r="F55" s="51" t="s">
        <v>72</v>
      </c>
      <c r="G55" s="49"/>
      <c r="H55" s="51" t="s">
        <v>77</v>
      </c>
      <c r="I55" s="26"/>
      <c r="J55" s="51" t="s">
        <v>78</v>
      </c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8" ht="12.75">
      <c r="A57" s="3" t="s">
        <v>87</v>
      </c>
      <c r="B57" s="3"/>
      <c r="C57" s="3"/>
      <c r="D57" s="3"/>
      <c r="E57" s="52"/>
      <c r="F57" s="75" t="s">
        <v>163</v>
      </c>
      <c r="G57" s="3"/>
      <c r="H57" s="3"/>
      <c r="I57" s="3"/>
      <c r="J57" s="3"/>
      <c r="K57" s="3"/>
      <c r="L57" s="3"/>
      <c r="M57" s="47" t="s">
        <v>87</v>
      </c>
      <c r="N57" s="3"/>
      <c r="O57" s="3"/>
      <c r="P57" s="3"/>
      <c r="Q57" s="3"/>
      <c r="R57" s="47" t="s">
        <v>171</v>
      </c>
    </row>
    <row r="58" spans="1:18" ht="12.75">
      <c r="A58" s="3"/>
      <c r="B58" s="3"/>
      <c r="C58" s="3"/>
      <c r="D58" s="3"/>
      <c r="E58" s="52"/>
      <c r="F58" s="5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">
      <c r="A59" s="5" t="s">
        <v>88</v>
      </c>
      <c r="B59" s="5" t="s">
        <v>89</v>
      </c>
      <c r="C59" s="3"/>
      <c r="D59" s="5" t="s">
        <v>90</v>
      </c>
      <c r="E59" s="17"/>
      <c r="F59" s="5" t="s">
        <v>164</v>
      </c>
      <c r="G59" s="3"/>
      <c r="H59" s="63" t="s">
        <v>165</v>
      </c>
      <c r="I59" s="3"/>
      <c r="J59" s="3"/>
      <c r="K59" s="3"/>
      <c r="L59" s="3"/>
      <c r="M59" s="5" t="s">
        <v>88</v>
      </c>
      <c r="N59" s="5" t="s">
        <v>89</v>
      </c>
      <c r="O59" s="3"/>
      <c r="P59" s="5" t="s">
        <v>90</v>
      </c>
      <c r="Q59" s="3"/>
      <c r="R59" s="5" t="s">
        <v>101</v>
      </c>
    </row>
    <row r="60" spans="1:18" ht="12.75">
      <c r="A60" s="15" t="s">
        <v>9</v>
      </c>
      <c r="B60" s="6" t="s">
        <v>9</v>
      </c>
      <c r="C60" s="3"/>
      <c r="D60" s="6" t="s">
        <v>9</v>
      </c>
      <c r="E60" s="18"/>
      <c r="F60" s="6" t="s">
        <v>15</v>
      </c>
      <c r="G60" s="62" t="s">
        <v>166</v>
      </c>
      <c r="H60" s="6"/>
      <c r="I60" s="3"/>
      <c r="J60" s="3"/>
      <c r="K60" s="3"/>
      <c r="L60" s="3"/>
      <c r="M60" s="15" t="s">
        <v>9</v>
      </c>
      <c r="N60" s="6" t="s">
        <v>9</v>
      </c>
      <c r="O60" s="3"/>
      <c r="P60" s="6" t="s">
        <v>9</v>
      </c>
      <c r="Q60" s="3"/>
      <c r="R60" s="6" t="s">
        <v>9</v>
      </c>
    </row>
    <row r="61" spans="1:18" ht="12.75">
      <c r="A61" s="7">
        <f>F13*(C33-E39*C45*1000/D13)/(B54*E39*C45*1000)</f>
        <v>768.3638518207348</v>
      </c>
      <c r="B61" s="8">
        <f>F13*(D33+E39*C45*1000/D13)/(A54*E39*C45*1000)</f>
        <v>1456.217686343438</v>
      </c>
      <c r="C61" s="3"/>
      <c r="D61" s="9">
        <f>MIN(A61,B61)</f>
        <v>768.3638518207348</v>
      </c>
      <c r="E61" s="26"/>
      <c r="F61" s="9">
        <f>0.001*(C13+B13)</f>
        <v>1444.9066666666668</v>
      </c>
      <c r="G61" s="3"/>
      <c r="H61" s="9">
        <f>F61/201</f>
        <v>7.188590381426203</v>
      </c>
      <c r="I61" s="3"/>
      <c r="J61" s="3"/>
      <c r="K61" s="3"/>
      <c r="L61" s="3"/>
      <c r="M61" s="7">
        <f>A61</f>
        <v>768.3638518207348</v>
      </c>
      <c r="N61" s="7">
        <f>B61</f>
        <v>1456.217686343438</v>
      </c>
      <c r="O61" s="3"/>
      <c r="P61" s="9">
        <f>MIN(M61,N61)</f>
        <v>768.3638518207348</v>
      </c>
      <c r="Q61" s="3"/>
      <c r="R61" s="8">
        <f>I71</f>
        <v>1285.6099737117263</v>
      </c>
    </row>
    <row r="62" spans="1:18" ht="12.75">
      <c r="A62" s="3"/>
      <c r="B62" s="3"/>
      <c r="C62" s="3"/>
      <c r="D62" s="3"/>
      <c r="E62" s="26"/>
      <c r="F62" s="5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5" t="s">
        <v>91</v>
      </c>
      <c r="B63" s="5" t="s">
        <v>92</v>
      </c>
      <c r="C63" s="3"/>
      <c r="D63" s="5" t="s">
        <v>93</v>
      </c>
      <c r="E63" s="3"/>
      <c r="F63" s="3"/>
      <c r="G63" s="3"/>
      <c r="H63" s="3"/>
      <c r="I63" s="3"/>
      <c r="J63" s="3"/>
      <c r="K63" s="3"/>
      <c r="L63" s="3"/>
      <c r="M63" s="5" t="s">
        <v>91</v>
      </c>
      <c r="N63" s="5" t="s">
        <v>92</v>
      </c>
      <c r="O63" s="3"/>
      <c r="P63" s="5" t="s">
        <v>93</v>
      </c>
      <c r="Q63" s="3"/>
      <c r="R63" s="3"/>
    </row>
    <row r="64" spans="1:18" ht="12.75">
      <c r="A64" s="15" t="s">
        <v>9</v>
      </c>
      <c r="B64" s="6" t="s">
        <v>9</v>
      </c>
      <c r="C64" s="3"/>
      <c r="D64" s="6" t="s">
        <v>9</v>
      </c>
      <c r="E64" s="3"/>
      <c r="F64" s="3"/>
      <c r="G64" s="3"/>
      <c r="H64" s="3"/>
      <c r="I64" s="3"/>
      <c r="J64" s="3"/>
      <c r="K64" s="3"/>
      <c r="L64" s="3"/>
      <c r="M64" s="15" t="s">
        <v>9</v>
      </c>
      <c r="N64" s="6" t="s">
        <v>9</v>
      </c>
      <c r="O64" s="3"/>
      <c r="P64" s="6" t="s">
        <v>9</v>
      </c>
      <c r="Q64" s="3"/>
      <c r="R64" s="3"/>
    </row>
    <row r="65" spans="1:18" ht="12.75">
      <c r="A65" s="7">
        <f>F13*(E33-C45*1000/D13)/(B54*C45*1000)</f>
        <v>945.2690450298871</v>
      </c>
      <c r="B65" s="8">
        <f>F13*(F33+C45*1000/D13)/(B54*C45*1000)</f>
        <v>1000.6880802707885</v>
      </c>
      <c r="C65" s="3"/>
      <c r="D65" s="9">
        <f>MIN(A65,B65)</f>
        <v>945.2690450298871</v>
      </c>
      <c r="E65" s="3"/>
      <c r="F65" s="3"/>
      <c r="G65" s="3"/>
      <c r="H65" s="3"/>
      <c r="I65" s="3"/>
      <c r="J65" s="3"/>
      <c r="K65" s="3"/>
      <c r="L65" s="3"/>
      <c r="M65" s="7">
        <f>A65</f>
        <v>945.2690450298871</v>
      </c>
      <c r="N65" s="7">
        <f>B65</f>
        <v>1000.6880802707885</v>
      </c>
      <c r="O65" s="3"/>
      <c r="P65" s="9">
        <f>MIN(M65,N65)</f>
        <v>945.2690450298871</v>
      </c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21" ht="12.75">
      <c r="A67" s="53" t="s">
        <v>94</v>
      </c>
      <c r="B67" s="26"/>
      <c r="C67" s="3"/>
      <c r="D67" s="37"/>
      <c r="E67" s="3"/>
      <c r="F67" s="3"/>
      <c r="G67" s="3" t="s">
        <v>95</v>
      </c>
      <c r="H67" s="3"/>
      <c r="I67" s="3" t="s">
        <v>171</v>
      </c>
      <c r="J67" s="3"/>
      <c r="K67" s="3"/>
      <c r="L67" s="3"/>
      <c r="M67" s="102" t="s">
        <v>172</v>
      </c>
      <c r="N67" s="3"/>
      <c r="O67" s="3"/>
      <c r="P67" s="3"/>
      <c r="Q67" s="3"/>
      <c r="R67" s="3"/>
      <c r="S67" s="3"/>
      <c r="T67" s="3"/>
      <c r="U67" s="3"/>
    </row>
    <row r="68" spans="1:2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5" t="s">
        <v>96</v>
      </c>
      <c r="B69" s="5" t="s">
        <v>97</v>
      </c>
      <c r="C69" s="5" t="s">
        <v>98</v>
      </c>
      <c r="D69" s="5" t="s">
        <v>99</v>
      </c>
      <c r="E69" s="5" t="s">
        <v>5</v>
      </c>
      <c r="F69" s="3"/>
      <c r="G69" s="5" t="s">
        <v>100</v>
      </c>
      <c r="H69" s="3"/>
      <c r="I69" s="5" t="s">
        <v>101</v>
      </c>
      <c r="J69" s="3"/>
      <c r="K69" s="3"/>
      <c r="L69" s="3"/>
      <c r="M69" s="5" t="s">
        <v>96</v>
      </c>
      <c r="N69" s="5" t="s">
        <v>97</v>
      </c>
      <c r="O69" s="5" t="s">
        <v>98</v>
      </c>
      <c r="P69" s="5" t="s">
        <v>99</v>
      </c>
      <c r="Q69" s="5" t="s">
        <v>5</v>
      </c>
      <c r="R69" s="5" t="s">
        <v>100</v>
      </c>
      <c r="S69" s="17"/>
      <c r="T69" s="5" t="s">
        <v>173</v>
      </c>
      <c r="U69" s="5" t="s">
        <v>174</v>
      </c>
    </row>
    <row r="70" spans="1:21" ht="12.75">
      <c r="A70" s="23" t="s">
        <v>11</v>
      </c>
      <c r="B70" s="42" t="s">
        <v>59</v>
      </c>
      <c r="C70" s="42" t="s">
        <v>59</v>
      </c>
      <c r="D70" s="42" t="s">
        <v>9</v>
      </c>
      <c r="E70" s="42" t="s">
        <v>9</v>
      </c>
      <c r="F70" s="3"/>
      <c r="G70" s="42" t="s">
        <v>9</v>
      </c>
      <c r="H70" s="3"/>
      <c r="I70" s="6" t="s">
        <v>9</v>
      </c>
      <c r="J70" s="3"/>
      <c r="K70" s="3"/>
      <c r="L70" s="3"/>
      <c r="M70" s="23" t="s">
        <v>11</v>
      </c>
      <c r="N70" s="42" t="s">
        <v>59</v>
      </c>
      <c r="O70" s="42" t="s">
        <v>59</v>
      </c>
      <c r="P70" s="42" t="s">
        <v>9</v>
      </c>
      <c r="Q70" s="42" t="s">
        <v>9</v>
      </c>
      <c r="R70" s="42" t="s">
        <v>9</v>
      </c>
      <c r="S70" s="18"/>
      <c r="T70" s="15" t="s">
        <v>11</v>
      </c>
      <c r="U70" s="6" t="s">
        <v>11</v>
      </c>
    </row>
    <row r="71" spans="1:21" ht="12.75">
      <c r="A71" s="54">
        <v>0</v>
      </c>
      <c r="B71" s="54">
        <f aca="true" t="shared" si="0" ref="B71:B102">0.5*$A$27*A71*($C$5-A71)</f>
        <v>0</v>
      </c>
      <c r="C71" s="54">
        <f aca="true" t="shared" si="1" ref="C71:C102">0.5*($E$27+$F$27)*A71*($C$5-A71)</f>
        <v>0</v>
      </c>
      <c r="D71" s="66">
        <f aca="true" t="shared" si="2" ref="D71:D102">1000*B71/($E$39*$C$45)</f>
        <v>0</v>
      </c>
      <c r="E71" s="55">
        <f aca="true" t="shared" si="3" ref="E71:E102">(1000*C71/$C$45)-($D$61+$D$65)</f>
        <v>-1713.6328968506218</v>
      </c>
      <c r="F71" s="59"/>
      <c r="G71" s="55">
        <f aca="true" t="shared" si="4" ref="G71:G102">4*$I$71*A71*1000*(1-A71*1000/($C$5*1000))/($C$5*1000)</f>
        <v>0</v>
      </c>
      <c r="H71" s="3"/>
      <c r="I71" s="8">
        <f>A21-H9</f>
        <v>1285.6099737117263</v>
      </c>
      <c r="J71" s="3"/>
      <c r="K71" s="3"/>
      <c r="L71" s="3"/>
      <c r="M71" s="88">
        <f>A71</f>
        <v>0</v>
      </c>
      <c r="N71" s="76">
        <f>B71</f>
        <v>0</v>
      </c>
      <c r="O71" s="76">
        <f>C71</f>
        <v>0</v>
      </c>
      <c r="P71" s="91">
        <f>D71+$D$61</f>
        <v>768.3638518207348</v>
      </c>
      <c r="Q71" s="80">
        <f>E71+$D$61</f>
        <v>-945.269045029887</v>
      </c>
      <c r="R71" s="81">
        <f>G71</f>
        <v>0</v>
      </c>
      <c r="S71" s="3"/>
      <c r="T71" s="97">
        <f>-$C$9+$A$21</f>
        <v>-1144.6757405739882</v>
      </c>
      <c r="U71" s="96">
        <f>$A$21</f>
        <v>1690.6575927593453</v>
      </c>
    </row>
    <row r="72" spans="1:21" ht="12.75">
      <c r="A72" s="56">
        <f aca="true" t="shared" si="5" ref="A72:A112">A71+0.5</f>
        <v>0.5</v>
      </c>
      <c r="B72" s="56">
        <f t="shared" si="0"/>
        <v>750.5998300791599</v>
      </c>
      <c r="C72" s="56">
        <f t="shared" si="1"/>
        <v>1461.62483007916</v>
      </c>
      <c r="D72" s="38">
        <f t="shared" si="2"/>
        <v>27.919755918444057</v>
      </c>
      <c r="E72" s="43">
        <f t="shared" si="3"/>
        <v>-1648.3919412338155</v>
      </c>
      <c r="F72" s="59"/>
      <c r="G72" s="43">
        <f t="shared" si="4"/>
        <v>61.75450315826555</v>
      </c>
      <c r="H72" s="3"/>
      <c r="I72" s="3"/>
      <c r="J72" s="3"/>
      <c r="K72" s="3"/>
      <c r="L72" s="3"/>
      <c r="M72" s="89">
        <f aca="true" t="shared" si="6" ref="M72:M135">A72</f>
        <v>0.5</v>
      </c>
      <c r="N72" s="77">
        <f aca="true" t="shared" si="7" ref="N72:N135">B72</f>
        <v>750.5998300791599</v>
      </c>
      <c r="O72" s="77">
        <f aca="true" t="shared" si="8" ref="O72:O135">C72</f>
        <v>1461.62483007916</v>
      </c>
      <c r="P72" s="92">
        <f aca="true" t="shared" si="9" ref="P72:P135">D72+$D$61</f>
        <v>796.2836077391788</v>
      </c>
      <c r="Q72" s="82">
        <f aca="true" t="shared" si="10" ref="Q72:Q135">E72+$D$61</f>
        <v>-880.0280894130807</v>
      </c>
      <c r="R72" s="83">
        <f aca="true" t="shared" si="11" ref="R72:R135">G72</f>
        <v>61.75450315826555</v>
      </c>
      <c r="S72" s="3"/>
      <c r="T72" s="98">
        <f>T71</f>
        <v>-1144.6757405739882</v>
      </c>
      <c r="U72" s="99">
        <f>U71</f>
        <v>1690.6575927593453</v>
      </c>
    </row>
    <row r="73" spans="1:21" ht="12.75">
      <c r="A73" s="56">
        <f t="shared" si="5"/>
        <v>1</v>
      </c>
      <c r="B73" s="56">
        <f t="shared" si="0"/>
        <v>1482.7256303754216</v>
      </c>
      <c r="C73" s="56">
        <f t="shared" si="1"/>
        <v>2887.2756303754218</v>
      </c>
      <c r="D73" s="38">
        <f t="shared" si="2"/>
        <v>55.15234088147478</v>
      </c>
      <c r="E73" s="43">
        <f t="shared" si="3"/>
        <v>-1584.7567192034428</v>
      </c>
      <c r="F73" s="59"/>
      <c r="G73" s="43">
        <f t="shared" si="4"/>
        <v>121.9890825371005</v>
      </c>
      <c r="H73" s="3"/>
      <c r="I73" s="3"/>
      <c r="J73" s="3"/>
      <c r="K73" s="3"/>
      <c r="L73" s="3"/>
      <c r="M73" s="89">
        <f t="shared" si="6"/>
        <v>1</v>
      </c>
      <c r="N73" s="77">
        <f t="shared" si="7"/>
        <v>1482.7256303754216</v>
      </c>
      <c r="O73" s="77">
        <f t="shared" si="8"/>
        <v>2887.2756303754218</v>
      </c>
      <c r="P73" s="92">
        <f t="shared" si="9"/>
        <v>823.5161927022095</v>
      </c>
      <c r="Q73" s="82">
        <f t="shared" si="10"/>
        <v>-816.392867382708</v>
      </c>
      <c r="R73" s="83">
        <f t="shared" si="11"/>
        <v>121.9890825371005</v>
      </c>
      <c r="S73" s="3"/>
      <c r="T73" s="98">
        <f aca="true" t="shared" si="12" ref="T73:T136">T72</f>
        <v>-1144.6757405739882</v>
      </c>
      <c r="U73" s="99">
        <f aca="true" t="shared" si="13" ref="U73:U136">U72</f>
        <v>1690.6575927593453</v>
      </c>
    </row>
    <row r="74" spans="1:21" ht="12.75">
      <c r="A74" s="56">
        <f t="shared" si="5"/>
        <v>1.5</v>
      </c>
      <c r="B74" s="56">
        <f t="shared" si="0"/>
        <v>2196.377400888785</v>
      </c>
      <c r="C74" s="56">
        <f t="shared" si="1"/>
        <v>4276.952400888785</v>
      </c>
      <c r="D74" s="38">
        <f t="shared" si="2"/>
        <v>81.69775488909215</v>
      </c>
      <c r="E74" s="43">
        <f t="shared" si="3"/>
        <v>-1522.727230759504</v>
      </c>
      <c r="F74" s="59"/>
      <c r="G74" s="43">
        <f t="shared" si="4"/>
        <v>180.70373813650482</v>
      </c>
      <c r="H74" s="3"/>
      <c r="I74" s="3"/>
      <c r="J74" s="3"/>
      <c r="K74" s="3"/>
      <c r="L74" s="3"/>
      <c r="M74" s="89">
        <f t="shared" si="6"/>
        <v>1.5</v>
      </c>
      <c r="N74" s="77">
        <f t="shared" si="7"/>
        <v>2196.377400888785</v>
      </c>
      <c r="O74" s="77">
        <f t="shared" si="8"/>
        <v>4276.952400888785</v>
      </c>
      <c r="P74" s="92">
        <f t="shared" si="9"/>
        <v>850.061606709827</v>
      </c>
      <c r="Q74" s="82">
        <f t="shared" si="10"/>
        <v>-754.3633789387692</v>
      </c>
      <c r="R74" s="83">
        <f t="shared" si="11"/>
        <v>180.70373813650482</v>
      </c>
      <c r="S74" s="3"/>
      <c r="T74" s="98">
        <f t="shared" si="12"/>
        <v>-1144.6757405739882</v>
      </c>
      <c r="U74" s="99">
        <f t="shared" si="13"/>
        <v>1690.6575927593453</v>
      </c>
    </row>
    <row r="75" spans="1:21" ht="12.75">
      <c r="A75" s="56">
        <f t="shared" si="5"/>
        <v>2</v>
      </c>
      <c r="B75" s="56">
        <f t="shared" si="0"/>
        <v>2891.5551416192498</v>
      </c>
      <c r="C75" s="56">
        <f t="shared" si="1"/>
        <v>5630.65514161925</v>
      </c>
      <c r="D75" s="38">
        <f t="shared" si="2"/>
        <v>107.55599794129618</v>
      </c>
      <c r="E75" s="43">
        <f t="shared" si="3"/>
        <v>-1462.3034759019993</v>
      </c>
      <c r="F75" s="59"/>
      <c r="G75" s="43">
        <f t="shared" si="4"/>
        <v>237.89846995647855</v>
      </c>
      <c r="H75" s="3"/>
      <c r="I75" s="3"/>
      <c r="J75" s="3"/>
      <c r="K75" s="3"/>
      <c r="L75" s="3"/>
      <c r="M75" s="89">
        <f t="shared" si="6"/>
        <v>2</v>
      </c>
      <c r="N75" s="77">
        <f t="shared" si="7"/>
        <v>2891.5551416192498</v>
      </c>
      <c r="O75" s="77">
        <f t="shared" si="8"/>
        <v>5630.65514161925</v>
      </c>
      <c r="P75" s="92">
        <f t="shared" si="9"/>
        <v>875.9198497620309</v>
      </c>
      <c r="Q75" s="82">
        <f t="shared" si="10"/>
        <v>-693.9396240812645</v>
      </c>
      <c r="R75" s="83">
        <f t="shared" si="11"/>
        <v>237.89846995647855</v>
      </c>
      <c r="S75" s="3"/>
      <c r="T75" s="98">
        <f t="shared" si="12"/>
        <v>-1144.6757405739882</v>
      </c>
      <c r="U75" s="99">
        <f t="shared" si="13"/>
        <v>1690.6575927593453</v>
      </c>
    </row>
    <row r="76" spans="1:21" ht="12.75">
      <c r="A76" s="56">
        <f t="shared" si="5"/>
        <v>2.5</v>
      </c>
      <c r="B76" s="56">
        <f t="shared" si="0"/>
        <v>3568.2588525668166</v>
      </c>
      <c r="C76" s="56">
        <f t="shared" si="1"/>
        <v>6948.383852566817</v>
      </c>
      <c r="D76" s="38">
        <f t="shared" si="2"/>
        <v>132.72707003808688</v>
      </c>
      <c r="E76" s="43">
        <f t="shared" si="3"/>
        <v>-1403.485454630928</v>
      </c>
      <c r="F76" s="59"/>
      <c r="G76" s="43">
        <f t="shared" si="4"/>
        <v>293.5732779970217</v>
      </c>
      <c r="H76" s="3"/>
      <c r="I76" s="3"/>
      <c r="J76" s="3"/>
      <c r="K76" s="3"/>
      <c r="L76" s="3"/>
      <c r="M76" s="89">
        <f t="shared" si="6"/>
        <v>2.5</v>
      </c>
      <c r="N76" s="77">
        <f t="shared" si="7"/>
        <v>3568.2588525668166</v>
      </c>
      <c r="O76" s="77">
        <f t="shared" si="8"/>
        <v>6948.383852566817</v>
      </c>
      <c r="P76" s="92">
        <f t="shared" si="9"/>
        <v>901.0909218588217</v>
      </c>
      <c r="Q76" s="82">
        <f t="shared" si="10"/>
        <v>-635.1216028101932</v>
      </c>
      <c r="R76" s="83">
        <f t="shared" si="11"/>
        <v>293.5732779970217</v>
      </c>
      <c r="S76" s="3"/>
      <c r="T76" s="98">
        <f t="shared" si="12"/>
        <v>-1144.6757405739882</v>
      </c>
      <c r="U76" s="99">
        <f t="shared" si="13"/>
        <v>1690.6575927593453</v>
      </c>
    </row>
    <row r="77" spans="1:21" ht="12.75">
      <c r="A77" s="56">
        <f t="shared" si="5"/>
        <v>3</v>
      </c>
      <c r="B77" s="56">
        <f t="shared" si="0"/>
        <v>4226.4885337314845</v>
      </c>
      <c r="C77" s="56">
        <f t="shared" si="1"/>
        <v>8230.138533731484</v>
      </c>
      <c r="D77" s="38">
        <f t="shared" si="2"/>
        <v>157.21097117946425</v>
      </c>
      <c r="E77" s="43">
        <f t="shared" si="3"/>
        <v>-1346.273166946291</v>
      </c>
      <c r="F77" s="59"/>
      <c r="G77" s="43">
        <f t="shared" si="4"/>
        <v>347.7281622581342</v>
      </c>
      <c r="H77" s="3"/>
      <c r="I77" s="3"/>
      <c r="J77" s="3"/>
      <c r="K77" s="3"/>
      <c r="L77" s="3"/>
      <c r="M77" s="89">
        <f t="shared" si="6"/>
        <v>3</v>
      </c>
      <c r="N77" s="77">
        <f t="shared" si="7"/>
        <v>4226.4885337314845</v>
      </c>
      <c r="O77" s="77">
        <f t="shared" si="8"/>
        <v>8230.138533731484</v>
      </c>
      <c r="P77" s="92">
        <f t="shared" si="9"/>
        <v>925.5748230001991</v>
      </c>
      <c r="Q77" s="82">
        <f t="shared" si="10"/>
        <v>-577.9093151255562</v>
      </c>
      <c r="R77" s="83">
        <f t="shared" si="11"/>
        <v>347.7281622581342</v>
      </c>
      <c r="S77" s="3"/>
      <c r="T77" s="98">
        <f t="shared" si="12"/>
        <v>-1144.6757405739882</v>
      </c>
      <c r="U77" s="99">
        <f t="shared" si="13"/>
        <v>1690.6575927593453</v>
      </c>
    </row>
    <row r="78" spans="1:21" ht="12.75">
      <c r="A78" s="56">
        <f t="shared" si="5"/>
        <v>3.5</v>
      </c>
      <c r="B78" s="56">
        <f t="shared" si="0"/>
        <v>4866.244185113254</v>
      </c>
      <c r="C78" s="56">
        <f t="shared" si="1"/>
        <v>9475.919185113255</v>
      </c>
      <c r="D78" s="38">
        <f t="shared" si="2"/>
        <v>181.00770136542823</v>
      </c>
      <c r="E78" s="43">
        <f t="shared" si="3"/>
        <v>-1290.6666128480874</v>
      </c>
      <c r="F78" s="59"/>
      <c r="G78" s="43">
        <f t="shared" si="4"/>
        <v>400.3631227398161</v>
      </c>
      <c r="H78" s="3"/>
      <c r="I78" s="3"/>
      <c r="J78" s="3"/>
      <c r="K78" s="3"/>
      <c r="L78" s="3"/>
      <c r="M78" s="89">
        <f t="shared" si="6"/>
        <v>3.5</v>
      </c>
      <c r="N78" s="77">
        <f t="shared" si="7"/>
        <v>4866.244185113254</v>
      </c>
      <c r="O78" s="77">
        <f t="shared" si="8"/>
        <v>9475.919185113255</v>
      </c>
      <c r="P78" s="92">
        <f t="shared" si="9"/>
        <v>949.371553186163</v>
      </c>
      <c r="Q78" s="82">
        <f t="shared" si="10"/>
        <v>-522.3027610273526</v>
      </c>
      <c r="R78" s="83">
        <f t="shared" si="11"/>
        <v>400.3631227398161</v>
      </c>
      <c r="S78" s="3"/>
      <c r="T78" s="98">
        <f t="shared" si="12"/>
        <v>-1144.6757405739882</v>
      </c>
      <c r="U78" s="99">
        <f t="shared" si="13"/>
        <v>1690.6575927593453</v>
      </c>
    </row>
    <row r="79" spans="1:21" ht="12.75">
      <c r="A79" s="56">
        <f t="shared" si="5"/>
        <v>4</v>
      </c>
      <c r="B79" s="56">
        <f t="shared" si="0"/>
        <v>5487.525806712126</v>
      </c>
      <c r="C79" s="56">
        <f t="shared" si="1"/>
        <v>10685.725806712126</v>
      </c>
      <c r="D79" s="38">
        <f t="shared" si="2"/>
        <v>204.1172605959789</v>
      </c>
      <c r="E79" s="43">
        <f t="shared" si="3"/>
        <v>-1236.6657923363177</v>
      </c>
      <c r="F79" s="59"/>
      <c r="G79" s="43">
        <f t="shared" si="4"/>
        <v>451.47815944206747</v>
      </c>
      <c r="H79" s="3"/>
      <c r="I79" s="3"/>
      <c r="J79" s="3"/>
      <c r="K79" s="3"/>
      <c r="L79" s="3"/>
      <c r="M79" s="89">
        <f t="shared" si="6"/>
        <v>4</v>
      </c>
      <c r="N79" s="77">
        <f t="shared" si="7"/>
        <v>5487.525806712126</v>
      </c>
      <c r="O79" s="77">
        <f t="shared" si="8"/>
        <v>10685.725806712126</v>
      </c>
      <c r="P79" s="92">
        <f t="shared" si="9"/>
        <v>972.4811124167137</v>
      </c>
      <c r="Q79" s="82">
        <f t="shared" si="10"/>
        <v>-468.30194051558294</v>
      </c>
      <c r="R79" s="83">
        <f t="shared" si="11"/>
        <v>451.47815944206747</v>
      </c>
      <c r="S79" s="3"/>
      <c r="T79" s="98">
        <f t="shared" si="12"/>
        <v>-1144.6757405739882</v>
      </c>
      <c r="U79" s="99">
        <f t="shared" si="13"/>
        <v>1690.6575927593453</v>
      </c>
    </row>
    <row r="80" spans="1:21" ht="12.75">
      <c r="A80" s="56">
        <f t="shared" si="5"/>
        <v>4.5</v>
      </c>
      <c r="B80" s="56">
        <f t="shared" si="0"/>
        <v>6090.3333985281</v>
      </c>
      <c r="C80" s="56">
        <f t="shared" si="1"/>
        <v>11859.5583985281</v>
      </c>
      <c r="D80" s="38">
        <f t="shared" si="2"/>
        <v>226.53964887111627</v>
      </c>
      <c r="E80" s="43">
        <f t="shared" si="3"/>
        <v>-1184.270705410982</v>
      </c>
      <c r="F80" s="59"/>
      <c r="G80" s="43">
        <f t="shared" si="4"/>
        <v>501.073272364888</v>
      </c>
      <c r="H80" s="3"/>
      <c r="I80" s="3"/>
      <c r="J80" s="3"/>
      <c r="K80" s="3"/>
      <c r="L80" s="3"/>
      <c r="M80" s="89">
        <f t="shared" si="6"/>
        <v>4.5</v>
      </c>
      <c r="N80" s="77">
        <f t="shared" si="7"/>
        <v>6090.3333985281</v>
      </c>
      <c r="O80" s="77">
        <f t="shared" si="8"/>
        <v>11859.5583985281</v>
      </c>
      <c r="P80" s="92">
        <f t="shared" si="9"/>
        <v>994.903500691851</v>
      </c>
      <c r="Q80" s="82">
        <f t="shared" si="10"/>
        <v>-415.9068535902471</v>
      </c>
      <c r="R80" s="83">
        <f t="shared" si="11"/>
        <v>501.073272364888</v>
      </c>
      <c r="S80" s="3"/>
      <c r="T80" s="98">
        <f t="shared" si="12"/>
        <v>-1144.6757405739882</v>
      </c>
      <c r="U80" s="99">
        <f t="shared" si="13"/>
        <v>1690.6575927593453</v>
      </c>
    </row>
    <row r="81" spans="1:21" ht="12.75">
      <c r="A81" s="56">
        <f t="shared" si="5"/>
        <v>5</v>
      </c>
      <c r="B81" s="56">
        <f t="shared" si="0"/>
        <v>6674.666960561174</v>
      </c>
      <c r="C81" s="56">
        <f t="shared" si="1"/>
        <v>12997.416960561175</v>
      </c>
      <c r="D81" s="38">
        <f t="shared" si="2"/>
        <v>248.2748661908402</v>
      </c>
      <c r="E81" s="43">
        <f t="shared" si="3"/>
        <v>-1133.48135207208</v>
      </c>
      <c r="F81" s="59"/>
      <c r="G81" s="43">
        <f t="shared" si="4"/>
        <v>549.1484615082782</v>
      </c>
      <c r="H81" s="3"/>
      <c r="I81" s="3"/>
      <c r="J81" s="3"/>
      <c r="K81" s="3"/>
      <c r="L81" s="3"/>
      <c r="M81" s="89">
        <f t="shared" si="6"/>
        <v>5</v>
      </c>
      <c r="N81" s="77">
        <f t="shared" si="7"/>
        <v>6674.666960561174</v>
      </c>
      <c r="O81" s="77">
        <f t="shared" si="8"/>
        <v>12997.416960561175</v>
      </c>
      <c r="P81" s="92">
        <f t="shared" si="9"/>
        <v>1016.6387180115751</v>
      </c>
      <c r="Q81" s="82">
        <f t="shared" si="10"/>
        <v>-365.1175002513452</v>
      </c>
      <c r="R81" s="83">
        <f t="shared" si="11"/>
        <v>549.1484615082782</v>
      </c>
      <c r="S81" s="3"/>
      <c r="T81" s="98">
        <f t="shared" si="12"/>
        <v>-1144.6757405739882</v>
      </c>
      <c r="U81" s="99">
        <f t="shared" si="13"/>
        <v>1690.6575927593453</v>
      </c>
    </row>
    <row r="82" spans="1:21" ht="12.75">
      <c r="A82" s="56">
        <f t="shared" si="5"/>
        <v>5.5</v>
      </c>
      <c r="B82" s="56">
        <f t="shared" si="0"/>
        <v>7240.52649281135</v>
      </c>
      <c r="C82" s="56">
        <f t="shared" si="1"/>
        <v>14099.301492811352</v>
      </c>
      <c r="D82" s="38">
        <f t="shared" si="2"/>
        <v>269.3229125551509</v>
      </c>
      <c r="E82" s="43">
        <f t="shared" si="3"/>
        <v>-1084.297732319612</v>
      </c>
      <c r="F82" s="59"/>
      <c r="G82" s="43">
        <f t="shared" si="4"/>
        <v>595.7037268722377</v>
      </c>
      <c r="H82" s="3"/>
      <c r="I82" s="3"/>
      <c r="J82" s="3"/>
      <c r="K82" s="3"/>
      <c r="L82" s="3"/>
      <c r="M82" s="89">
        <f t="shared" si="6"/>
        <v>5.5</v>
      </c>
      <c r="N82" s="77">
        <f t="shared" si="7"/>
        <v>7240.52649281135</v>
      </c>
      <c r="O82" s="77">
        <f t="shared" si="8"/>
        <v>14099.301492811352</v>
      </c>
      <c r="P82" s="92">
        <f t="shared" si="9"/>
        <v>1037.6867643758856</v>
      </c>
      <c r="Q82" s="82">
        <f t="shared" si="10"/>
        <v>-315.9338804988771</v>
      </c>
      <c r="R82" s="83">
        <f t="shared" si="11"/>
        <v>595.7037268722377</v>
      </c>
      <c r="S82" s="3"/>
      <c r="T82" s="98">
        <f t="shared" si="12"/>
        <v>-1144.6757405739882</v>
      </c>
      <c r="U82" s="99">
        <f t="shared" si="13"/>
        <v>1690.6575927593453</v>
      </c>
    </row>
    <row r="83" spans="1:21" ht="12.75">
      <c r="A83" s="56">
        <f t="shared" si="5"/>
        <v>6</v>
      </c>
      <c r="B83" s="56">
        <f t="shared" si="0"/>
        <v>7787.911995278629</v>
      </c>
      <c r="C83" s="56">
        <f t="shared" si="1"/>
        <v>15165.211995278629</v>
      </c>
      <c r="D83" s="38">
        <f t="shared" si="2"/>
        <v>289.6837879640482</v>
      </c>
      <c r="E83" s="43">
        <f t="shared" si="3"/>
        <v>-1036.7198461535777</v>
      </c>
      <c r="F83" s="59"/>
      <c r="G83" s="43">
        <f t="shared" si="4"/>
        <v>640.7390684567666</v>
      </c>
      <c r="H83" s="3"/>
      <c r="I83" s="3"/>
      <c r="J83" s="3"/>
      <c r="K83" s="3"/>
      <c r="L83" s="3"/>
      <c r="M83" s="89">
        <f t="shared" si="6"/>
        <v>6</v>
      </c>
      <c r="N83" s="77">
        <f t="shared" si="7"/>
        <v>7787.911995278629</v>
      </c>
      <c r="O83" s="77">
        <f t="shared" si="8"/>
        <v>15165.211995278629</v>
      </c>
      <c r="P83" s="92">
        <f t="shared" si="9"/>
        <v>1058.0476397847829</v>
      </c>
      <c r="Q83" s="82">
        <f t="shared" si="10"/>
        <v>-268.3559943328429</v>
      </c>
      <c r="R83" s="83">
        <f t="shared" si="11"/>
        <v>640.7390684567666</v>
      </c>
      <c r="S83" s="3"/>
      <c r="T83" s="98">
        <f t="shared" si="12"/>
        <v>-1144.6757405739882</v>
      </c>
      <c r="U83" s="99">
        <f t="shared" si="13"/>
        <v>1690.6575927593453</v>
      </c>
    </row>
    <row r="84" spans="1:21" ht="12.75">
      <c r="A84" s="56">
        <f t="shared" si="5"/>
        <v>6.5</v>
      </c>
      <c r="B84" s="56">
        <f t="shared" si="0"/>
        <v>8316.823467963008</v>
      </c>
      <c r="C84" s="56">
        <f t="shared" si="1"/>
        <v>16195.148467963008</v>
      </c>
      <c r="D84" s="38">
        <f t="shared" si="2"/>
        <v>309.3574924175321</v>
      </c>
      <c r="E84" s="43">
        <f t="shared" si="3"/>
        <v>-990.7476935739771</v>
      </c>
      <c r="F84" s="59"/>
      <c r="G84" s="43">
        <f t="shared" si="4"/>
        <v>684.2544862618647</v>
      </c>
      <c r="H84" s="3"/>
      <c r="I84" s="3"/>
      <c r="J84" s="3"/>
      <c r="K84" s="3"/>
      <c r="L84" s="3"/>
      <c r="M84" s="89">
        <f t="shared" si="6"/>
        <v>6.5</v>
      </c>
      <c r="N84" s="77">
        <f t="shared" si="7"/>
        <v>8316.823467963008</v>
      </c>
      <c r="O84" s="77">
        <f t="shared" si="8"/>
        <v>16195.148467963008</v>
      </c>
      <c r="P84" s="92">
        <f t="shared" si="9"/>
        <v>1077.721344238267</v>
      </c>
      <c r="Q84" s="82">
        <f t="shared" si="10"/>
        <v>-222.38384175324234</v>
      </c>
      <c r="R84" s="83">
        <f t="shared" si="11"/>
        <v>684.2544862618647</v>
      </c>
      <c r="S84" s="3"/>
      <c r="T84" s="98">
        <f t="shared" si="12"/>
        <v>-1144.6757405739882</v>
      </c>
      <c r="U84" s="99">
        <f t="shared" si="13"/>
        <v>1690.6575927593453</v>
      </c>
    </row>
    <row r="85" spans="1:21" ht="12.75">
      <c r="A85" s="56">
        <f t="shared" si="5"/>
        <v>7</v>
      </c>
      <c r="B85" s="56">
        <f t="shared" si="0"/>
        <v>8827.260910864488</v>
      </c>
      <c r="C85" s="56">
        <f t="shared" si="1"/>
        <v>17189.11091086449</v>
      </c>
      <c r="D85" s="38">
        <f t="shared" si="2"/>
        <v>328.34402591560274</v>
      </c>
      <c r="E85" s="43">
        <f t="shared" si="3"/>
        <v>-946.3812745808106</v>
      </c>
      <c r="F85" s="59"/>
      <c r="G85" s="43">
        <f t="shared" si="4"/>
        <v>726.2499802875326</v>
      </c>
      <c r="H85" s="3"/>
      <c r="I85" s="3"/>
      <c r="J85" s="3"/>
      <c r="K85" s="3"/>
      <c r="L85" s="3"/>
      <c r="M85" s="89">
        <f t="shared" si="6"/>
        <v>7</v>
      </c>
      <c r="N85" s="77">
        <f t="shared" si="7"/>
        <v>8827.260910864488</v>
      </c>
      <c r="O85" s="77">
        <f t="shared" si="8"/>
        <v>17189.11091086449</v>
      </c>
      <c r="P85" s="92">
        <f t="shared" si="9"/>
        <v>1096.7078777363377</v>
      </c>
      <c r="Q85" s="82">
        <f t="shared" si="10"/>
        <v>-178.01742276007576</v>
      </c>
      <c r="R85" s="83">
        <f t="shared" si="11"/>
        <v>726.2499802875326</v>
      </c>
      <c r="S85" s="3"/>
      <c r="T85" s="98">
        <f t="shared" si="12"/>
        <v>-1144.6757405739882</v>
      </c>
      <c r="U85" s="99">
        <f t="shared" si="13"/>
        <v>1690.6575927593453</v>
      </c>
    </row>
    <row r="86" spans="1:21" ht="12.75">
      <c r="A86" s="56">
        <f t="shared" si="5"/>
        <v>7.5</v>
      </c>
      <c r="B86" s="56">
        <f t="shared" si="0"/>
        <v>9319.224323983073</v>
      </c>
      <c r="C86" s="56">
        <f t="shared" si="1"/>
        <v>18147.09932398307</v>
      </c>
      <c r="D86" s="38">
        <f t="shared" si="2"/>
        <v>346.64338845826006</v>
      </c>
      <c r="E86" s="43">
        <f t="shared" si="3"/>
        <v>-903.6205891740776</v>
      </c>
      <c r="F86" s="59"/>
      <c r="G86" s="43">
        <f t="shared" si="4"/>
        <v>766.7255505337696</v>
      </c>
      <c r="H86" s="3"/>
      <c r="I86" s="3"/>
      <c r="J86" s="3"/>
      <c r="K86" s="3"/>
      <c r="L86" s="3"/>
      <c r="M86" s="89">
        <f t="shared" si="6"/>
        <v>7.5</v>
      </c>
      <c r="N86" s="77">
        <f t="shared" si="7"/>
        <v>9319.224323983073</v>
      </c>
      <c r="O86" s="77">
        <f t="shared" si="8"/>
        <v>18147.09932398307</v>
      </c>
      <c r="P86" s="92">
        <f t="shared" si="9"/>
        <v>1115.007240278995</v>
      </c>
      <c r="Q86" s="82">
        <f t="shared" si="10"/>
        <v>-135.25673735334283</v>
      </c>
      <c r="R86" s="83">
        <f t="shared" si="11"/>
        <v>766.7255505337696</v>
      </c>
      <c r="S86" s="3"/>
      <c r="T86" s="98">
        <f t="shared" si="12"/>
        <v>-1144.6757405739882</v>
      </c>
      <c r="U86" s="99">
        <f t="shared" si="13"/>
        <v>1690.6575927593453</v>
      </c>
    </row>
    <row r="87" spans="1:21" ht="12.75">
      <c r="A87" s="56">
        <f t="shared" si="5"/>
        <v>8</v>
      </c>
      <c r="B87" s="56">
        <f t="shared" si="0"/>
        <v>9792.713707318757</v>
      </c>
      <c r="C87" s="56">
        <f t="shared" si="1"/>
        <v>19069.113707318756</v>
      </c>
      <c r="D87" s="38">
        <f t="shared" si="2"/>
        <v>364.25558004550396</v>
      </c>
      <c r="E87" s="43">
        <f t="shared" si="3"/>
        <v>-862.4656373537787</v>
      </c>
      <c r="F87" s="59"/>
      <c r="G87" s="43">
        <f t="shared" si="4"/>
        <v>805.6811970005759</v>
      </c>
      <c r="H87" s="3"/>
      <c r="I87" s="3"/>
      <c r="J87" s="3"/>
      <c r="K87" s="3"/>
      <c r="L87" s="3"/>
      <c r="M87" s="89">
        <f t="shared" si="6"/>
        <v>8</v>
      </c>
      <c r="N87" s="77">
        <f t="shared" si="7"/>
        <v>9792.713707318757</v>
      </c>
      <c r="O87" s="77">
        <f t="shared" si="8"/>
        <v>19069.113707318756</v>
      </c>
      <c r="P87" s="92">
        <f t="shared" si="9"/>
        <v>1132.6194318662388</v>
      </c>
      <c r="Q87" s="82">
        <f t="shared" si="10"/>
        <v>-94.10178553304388</v>
      </c>
      <c r="R87" s="83">
        <f t="shared" si="11"/>
        <v>805.6811970005759</v>
      </c>
      <c r="S87" s="3"/>
      <c r="T87" s="98">
        <f t="shared" si="12"/>
        <v>-1144.6757405739882</v>
      </c>
      <c r="U87" s="99">
        <f t="shared" si="13"/>
        <v>1690.6575927593453</v>
      </c>
    </row>
    <row r="88" spans="1:21" ht="12.75">
      <c r="A88" s="56">
        <f t="shared" si="5"/>
        <v>8.5</v>
      </c>
      <c r="B88" s="56">
        <f t="shared" si="0"/>
        <v>10247.729060871545</v>
      </c>
      <c r="C88" s="56">
        <f t="shared" si="1"/>
        <v>19955.154060871544</v>
      </c>
      <c r="D88" s="38">
        <f t="shared" si="2"/>
        <v>381.1806006773346</v>
      </c>
      <c r="E88" s="43">
        <f t="shared" si="3"/>
        <v>-822.9164191199135</v>
      </c>
      <c r="F88" s="59"/>
      <c r="G88" s="43">
        <f t="shared" si="4"/>
        <v>843.1169196879518</v>
      </c>
      <c r="H88" s="3"/>
      <c r="I88" s="3"/>
      <c r="J88" s="3"/>
      <c r="K88" s="3"/>
      <c r="L88" s="3"/>
      <c r="M88" s="89">
        <f t="shared" si="6"/>
        <v>8.5</v>
      </c>
      <c r="N88" s="77">
        <f t="shared" si="7"/>
        <v>10247.729060871545</v>
      </c>
      <c r="O88" s="77">
        <f t="shared" si="8"/>
        <v>19955.154060871544</v>
      </c>
      <c r="P88" s="92">
        <f t="shared" si="9"/>
        <v>1149.5444524980694</v>
      </c>
      <c r="Q88" s="82">
        <f t="shared" si="10"/>
        <v>-54.55256729917869</v>
      </c>
      <c r="R88" s="83">
        <f t="shared" si="11"/>
        <v>843.1169196879518</v>
      </c>
      <c r="S88" s="3"/>
      <c r="T88" s="98">
        <f t="shared" si="12"/>
        <v>-1144.6757405739882</v>
      </c>
      <c r="U88" s="99">
        <f t="shared" si="13"/>
        <v>1690.6575927593453</v>
      </c>
    </row>
    <row r="89" spans="1:21" ht="12.75">
      <c r="A89" s="56">
        <f t="shared" si="5"/>
        <v>9</v>
      </c>
      <c r="B89" s="56">
        <f t="shared" si="0"/>
        <v>10684.270384641432</v>
      </c>
      <c r="C89" s="56">
        <f t="shared" si="1"/>
        <v>20805.220384641434</v>
      </c>
      <c r="D89" s="38">
        <f t="shared" si="2"/>
        <v>397.41845035375184</v>
      </c>
      <c r="E89" s="43">
        <f t="shared" si="3"/>
        <v>-784.972934472482</v>
      </c>
      <c r="F89" s="59"/>
      <c r="G89" s="43">
        <f t="shared" si="4"/>
        <v>879.032718595897</v>
      </c>
      <c r="H89" s="3"/>
      <c r="I89" s="3"/>
      <c r="J89" s="3"/>
      <c r="K89" s="3"/>
      <c r="L89" s="3"/>
      <c r="M89" s="89">
        <f t="shared" si="6"/>
        <v>9</v>
      </c>
      <c r="N89" s="77">
        <f t="shared" si="7"/>
        <v>10684.270384641432</v>
      </c>
      <c r="O89" s="77">
        <f t="shared" si="8"/>
        <v>20805.220384641434</v>
      </c>
      <c r="P89" s="92">
        <f t="shared" si="9"/>
        <v>1165.7823021744866</v>
      </c>
      <c r="Q89" s="82">
        <f t="shared" si="10"/>
        <v>-16.609082651747258</v>
      </c>
      <c r="R89" s="83">
        <f t="shared" si="11"/>
        <v>879.032718595897</v>
      </c>
      <c r="S89" s="3"/>
      <c r="T89" s="98">
        <f t="shared" si="12"/>
        <v>-1144.6757405739882</v>
      </c>
      <c r="U89" s="99">
        <f t="shared" si="13"/>
        <v>1690.6575927593453</v>
      </c>
    </row>
    <row r="90" spans="1:21" ht="12.75">
      <c r="A90" s="56">
        <f t="shared" si="5"/>
        <v>9.5</v>
      </c>
      <c r="B90" s="56">
        <f t="shared" si="0"/>
        <v>11102.337678628423</v>
      </c>
      <c r="C90" s="56">
        <f t="shared" si="1"/>
        <v>21619.312678628423</v>
      </c>
      <c r="D90" s="38">
        <f t="shared" si="2"/>
        <v>412.96912907475576</v>
      </c>
      <c r="E90" s="43">
        <f t="shared" si="3"/>
        <v>-748.6351834114846</v>
      </c>
      <c r="F90" s="59"/>
      <c r="G90" s="43">
        <f t="shared" si="4"/>
        <v>913.4285937244117</v>
      </c>
      <c r="H90" s="3"/>
      <c r="I90" s="3"/>
      <c r="J90" s="3"/>
      <c r="K90" s="3"/>
      <c r="L90" s="3"/>
      <c r="M90" s="89">
        <f t="shared" si="6"/>
        <v>9.5</v>
      </c>
      <c r="N90" s="77">
        <f t="shared" si="7"/>
        <v>11102.337678628423</v>
      </c>
      <c r="O90" s="77">
        <f t="shared" si="8"/>
        <v>21619.312678628423</v>
      </c>
      <c r="P90" s="92">
        <f t="shared" si="9"/>
        <v>1181.3329808954904</v>
      </c>
      <c r="Q90" s="82">
        <f t="shared" si="10"/>
        <v>19.72866840925019</v>
      </c>
      <c r="R90" s="83">
        <f t="shared" si="11"/>
        <v>913.4285937244117</v>
      </c>
      <c r="S90" s="3"/>
      <c r="T90" s="98">
        <f t="shared" si="12"/>
        <v>-1144.6757405739882</v>
      </c>
      <c r="U90" s="99">
        <f t="shared" si="13"/>
        <v>1690.6575927593453</v>
      </c>
    </row>
    <row r="91" spans="1:21" ht="12.75">
      <c r="A91" s="56">
        <f t="shared" si="5"/>
        <v>10</v>
      </c>
      <c r="B91" s="56">
        <f t="shared" si="0"/>
        <v>11501.930942832514</v>
      </c>
      <c r="C91" s="56">
        <f t="shared" si="1"/>
        <v>22397.430942832514</v>
      </c>
      <c r="D91" s="38">
        <f t="shared" si="2"/>
        <v>427.83263684034637</v>
      </c>
      <c r="E91" s="43">
        <f t="shared" si="3"/>
        <v>-713.9031659369209</v>
      </c>
      <c r="F91" s="59"/>
      <c r="G91" s="43">
        <f t="shared" si="4"/>
        <v>946.3045450734958</v>
      </c>
      <c r="H91" s="3"/>
      <c r="I91" s="3"/>
      <c r="J91" s="3"/>
      <c r="K91" s="3"/>
      <c r="L91" s="3"/>
      <c r="M91" s="89">
        <f t="shared" si="6"/>
        <v>10</v>
      </c>
      <c r="N91" s="77">
        <f t="shared" si="7"/>
        <v>11501.930942832514</v>
      </c>
      <c r="O91" s="77">
        <f t="shared" si="8"/>
        <v>22397.430942832514</v>
      </c>
      <c r="P91" s="92">
        <f t="shared" si="9"/>
        <v>1196.1964886610813</v>
      </c>
      <c r="Q91" s="82">
        <f t="shared" si="10"/>
        <v>54.46068588381388</v>
      </c>
      <c r="R91" s="83">
        <f t="shared" si="11"/>
        <v>946.3045450734958</v>
      </c>
      <c r="S91" s="3"/>
      <c r="T91" s="98">
        <f t="shared" si="12"/>
        <v>-1144.6757405739882</v>
      </c>
      <c r="U91" s="99">
        <f t="shared" si="13"/>
        <v>1690.6575927593453</v>
      </c>
    </row>
    <row r="92" spans="1:21" ht="12.75">
      <c r="A92" s="56">
        <f t="shared" si="5"/>
        <v>10.5</v>
      </c>
      <c r="B92" s="56">
        <f t="shared" si="0"/>
        <v>11883.050177253705</v>
      </c>
      <c r="C92" s="56">
        <f t="shared" si="1"/>
        <v>23139.575177253708</v>
      </c>
      <c r="D92" s="38">
        <f t="shared" si="2"/>
        <v>442.0089736505235</v>
      </c>
      <c r="E92" s="43">
        <f t="shared" si="3"/>
        <v>-680.7768820487911</v>
      </c>
      <c r="F92" s="59"/>
      <c r="G92" s="43">
        <f t="shared" si="4"/>
        <v>977.6605726431491</v>
      </c>
      <c r="H92" s="3"/>
      <c r="I92" s="3"/>
      <c r="J92" s="3"/>
      <c r="K92" s="3"/>
      <c r="L92" s="3"/>
      <c r="M92" s="89">
        <f t="shared" si="6"/>
        <v>10.5</v>
      </c>
      <c r="N92" s="77">
        <f t="shared" si="7"/>
        <v>11883.050177253705</v>
      </c>
      <c r="O92" s="77">
        <f t="shared" si="8"/>
        <v>23139.575177253708</v>
      </c>
      <c r="P92" s="92">
        <f t="shared" si="9"/>
        <v>1210.3728254712582</v>
      </c>
      <c r="Q92" s="82">
        <f t="shared" si="10"/>
        <v>87.5869697719437</v>
      </c>
      <c r="R92" s="83">
        <f t="shared" si="11"/>
        <v>977.6605726431491</v>
      </c>
      <c r="S92" s="3"/>
      <c r="T92" s="98">
        <f t="shared" si="12"/>
        <v>-1144.6757405739882</v>
      </c>
      <c r="U92" s="99">
        <f t="shared" si="13"/>
        <v>1690.6575927593453</v>
      </c>
    </row>
    <row r="93" spans="1:21" ht="12.75">
      <c r="A93" s="56">
        <f t="shared" si="5"/>
        <v>11</v>
      </c>
      <c r="B93" s="56">
        <f t="shared" si="0"/>
        <v>12245.695381892</v>
      </c>
      <c r="C93" s="56">
        <f t="shared" si="1"/>
        <v>23845.745381892004</v>
      </c>
      <c r="D93" s="38">
        <f t="shared" si="2"/>
        <v>455.4981395052874</v>
      </c>
      <c r="E93" s="43">
        <f t="shared" si="3"/>
        <v>-649.2563317470949</v>
      </c>
      <c r="F93" s="59"/>
      <c r="G93" s="43">
        <f t="shared" si="4"/>
        <v>1007.496676433372</v>
      </c>
      <c r="H93" s="3"/>
      <c r="I93" s="3"/>
      <c r="J93" s="3"/>
      <c r="K93" s="3"/>
      <c r="L93" s="3"/>
      <c r="M93" s="89">
        <f t="shared" si="6"/>
        <v>11</v>
      </c>
      <c r="N93" s="77">
        <f t="shared" si="7"/>
        <v>12245.695381892</v>
      </c>
      <c r="O93" s="77">
        <f t="shared" si="8"/>
        <v>23845.745381892004</v>
      </c>
      <c r="P93" s="92">
        <f t="shared" si="9"/>
        <v>1223.8619913260222</v>
      </c>
      <c r="Q93" s="82">
        <f t="shared" si="10"/>
        <v>119.10752007363988</v>
      </c>
      <c r="R93" s="83">
        <f t="shared" si="11"/>
        <v>1007.496676433372</v>
      </c>
      <c r="S93" s="3"/>
      <c r="T93" s="98">
        <f t="shared" si="12"/>
        <v>-1144.6757405739882</v>
      </c>
      <c r="U93" s="99">
        <f t="shared" si="13"/>
        <v>1690.6575927593453</v>
      </c>
    </row>
    <row r="94" spans="1:21" ht="12.75">
      <c r="A94" s="56">
        <f t="shared" si="5"/>
        <v>11.5</v>
      </c>
      <c r="B94" s="56">
        <f t="shared" si="0"/>
        <v>12589.866556747396</v>
      </c>
      <c r="C94" s="56">
        <f t="shared" si="1"/>
        <v>24515.9415567474</v>
      </c>
      <c r="D94" s="38">
        <f t="shared" si="2"/>
        <v>468.30013440463796</v>
      </c>
      <c r="E94" s="43">
        <f t="shared" si="3"/>
        <v>-619.3415150318328</v>
      </c>
      <c r="F94" s="59"/>
      <c r="G94" s="43">
        <f t="shared" si="4"/>
        <v>1035.8128564441643</v>
      </c>
      <c r="H94" s="3"/>
      <c r="I94" s="3"/>
      <c r="J94" s="3"/>
      <c r="K94" s="3"/>
      <c r="L94" s="3"/>
      <c r="M94" s="89">
        <f t="shared" si="6"/>
        <v>11.5</v>
      </c>
      <c r="N94" s="77">
        <f t="shared" si="7"/>
        <v>12589.866556747396</v>
      </c>
      <c r="O94" s="77">
        <f t="shared" si="8"/>
        <v>24515.9415567474</v>
      </c>
      <c r="P94" s="92">
        <f t="shared" si="9"/>
        <v>1236.6639862253728</v>
      </c>
      <c r="Q94" s="82">
        <f t="shared" si="10"/>
        <v>149.02233678890195</v>
      </c>
      <c r="R94" s="83">
        <f t="shared" si="11"/>
        <v>1035.8128564441643</v>
      </c>
      <c r="S94" s="3"/>
      <c r="T94" s="98">
        <f t="shared" si="12"/>
        <v>-1144.6757405739882</v>
      </c>
      <c r="U94" s="99">
        <f t="shared" si="13"/>
        <v>1690.6575927593453</v>
      </c>
    </row>
    <row r="95" spans="1:21" ht="12.75">
      <c r="A95" s="56">
        <f t="shared" si="5"/>
        <v>12</v>
      </c>
      <c r="B95" s="56">
        <f t="shared" si="0"/>
        <v>12915.563701819894</v>
      </c>
      <c r="C95" s="56">
        <f t="shared" si="1"/>
        <v>25150.163701819893</v>
      </c>
      <c r="D95" s="38">
        <f t="shared" si="2"/>
        <v>480.4149583485752</v>
      </c>
      <c r="E95" s="43">
        <f t="shared" si="3"/>
        <v>-591.0324319030046</v>
      </c>
      <c r="F95" s="59"/>
      <c r="G95" s="43">
        <f t="shared" si="4"/>
        <v>1062.6091126755257</v>
      </c>
      <c r="H95" s="3"/>
      <c r="I95" s="3"/>
      <c r="J95" s="3"/>
      <c r="K95" s="3"/>
      <c r="L95" s="3"/>
      <c r="M95" s="89">
        <f t="shared" si="6"/>
        <v>12</v>
      </c>
      <c r="N95" s="77">
        <f t="shared" si="7"/>
        <v>12915.563701819894</v>
      </c>
      <c r="O95" s="77">
        <f t="shared" si="8"/>
        <v>25150.163701819893</v>
      </c>
      <c r="P95" s="92">
        <f t="shared" si="9"/>
        <v>1248.77881016931</v>
      </c>
      <c r="Q95" s="82">
        <f t="shared" si="10"/>
        <v>177.33141991773016</v>
      </c>
      <c r="R95" s="83">
        <f t="shared" si="11"/>
        <v>1062.6091126755257</v>
      </c>
      <c r="S95" s="3"/>
      <c r="T95" s="98">
        <f t="shared" si="12"/>
        <v>-1144.6757405739882</v>
      </c>
      <c r="U95" s="99">
        <f t="shared" si="13"/>
        <v>1690.6575927593453</v>
      </c>
    </row>
    <row r="96" spans="1:21" ht="12.75">
      <c r="A96" s="56">
        <f t="shared" si="5"/>
        <v>12.5</v>
      </c>
      <c r="B96" s="56">
        <f t="shared" si="0"/>
        <v>13222.786817109494</v>
      </c>
      <c r="C96" s="56">
        <f t="shared" si="1"/>
        <v>25748.411817109492</v>
      </c>
      <c r="D96" s="38">
        <f t="shared" si="2"/>
        <v>491.842611337099</v>
      </c>
      <c r="E96" s="43">
        <f t="shared" si="3"/>
        <v>-564.3290823606101</v>
      </c>
      <c r="F96" s="59"/>
      <c r="G96" s="43">
        <f t="shared" si="4"/>
        <v>1087.8854451274567</v>
      </c>
      <c r="H96" s="3"/>
      <c r="I96" s="3"/>
      <c r="J96" s="3"/>
      <c r="K96" s="3"/>
      <c r="L96" s="3"/>
      <c r="M96" s="89">
        <f t="shared" si="6"/>
        <v>12.5</v>
      </c>
      <c r="N96" s="77">
        <f t="shared" si="7"/>
        <v>13222.786817109494</v>
      </c>
      <c r="O96" s="77">
        <f t="shared" si="8"/>
        <v>25748.411817109492</v>
      </c>
      <c r="P96" s="92">
        <f t="shared" si="9"/>
        <v>1260.2064631578337</v>
      </c>
      <c r="Q96" s="82">
        <f t="shared" si="10"/>
        <v>204.03476946012472</v>
      </c>
      <c r="R96" s="83">
        <f t="shared" si="11"/>
        <v>1087.8854451274567</v>
      </c>
      <c r="S96" s="3"/>
      <c r="T96" s="98">
        <f t="shared" si="12"/>
        <v>-1144.6757405739882</v>
      </c>
      <c r="U96" s="99">
        <f t="shared" si="13"/>
        <v>1690.6575927593453</v>
      </c>
    </row>
    <row r="97" spans="1:21" ht="12.75">
      <c r="A97" s="56">
        <f t="shared" si="5"/>
        <v>13</v>
      </c>
      <c r="B97" s="56">
        <f t="shared" si="0"/>
        <v>13511.535902616195</v>
      </c>
      <c r="C97" s="56">
        <f t="shared" si="1"/>
        <v>26310.685902616195</v>
      </c>
      <c r="D97" s="38">
        <f t="shared" si="2"/>
        <v>502.5830933702096</v>
      </c>
      <c r="E97" s="43">
        <f t="shared" si="3"/>
        <v>-539.2314664046492</v>
      </c>
      <c r="F97" s="59"/>
      <c r="G97" s="43">
        <f t="shared" si="4"/>
        <v>1111.641853799957</v>
      </c>
      <c r="H97" s="3"/>
      <c r="I97" s="3"/>
      <c r="J97" s="3"/>
      <c r="K97" s="3"/>
      <c r="L97" s="3"/>
      <c r="M97" s="89">
        <f t="shared" si="6"/>
        <v>13</v>
      </c>
      <c r="N97" s="77">
        <f t="shared" si="7"/>
        <v>13511.535902616195</v>
      </c>
      <c r="O97" s="77">
        <f t="shared" si="8"/>
        <v>26310.685902616195</v>
      </c>
      <c r="P97" s="92">
        <f t="shared" si="9"/>
        <v>1270.9469451909445</v>
      </c>
      <c r="Q97" s="82">
        <f t="shared" si="10"/>
        <v>229.13238541608564</v>
      </c>
      <c r="R97" s="83">
        <f t="shared" si="11"/>
        <v>1111.641853799957</v>
      </c>
      <c r="S97" s="3"/>
      <c r="T97" s="98">
        <f t="shared" si="12"/>
        <v>-1144.6757405739882</v>
      </c>
      <c r="U97" s="99">
        <f t="shared" si="13"/>
        <v>1690.6575927593453</v>
      </c>
    </row>
    <row r="98" spans="1:21" ht="12.75">
      <c r="A98" s="56">
        <f t="shared" si="5"/>
        <v>13.5</v>
      </c>
      <c r="B98" s="56">
        <f t="shared" si="0"/>
        <v>13781.810958339998</v>
      </c>
      <c r="C98" s="56">
        <f t="shared" si="1"/>
        <v>26836.98595834</v>
      </c>
      <c r="D98" s="38">
        <f t="shared" si="2"/>
        <v>512.6364044479068</v>
      </c>
      <c r="E98" s="43">
        <f t="shared" si="3"/>
        <v>-515.7395840351223</v>
      </c>
      <c r="F98" s="59"/>
      <c r="G98" s="43">
        <f t="shared" si="4"/>
        <v>1133.878338693027</v>
      </c>
      <c r="H98" s="3"/>
      <c r="I98" s="3"/>
      <c r="J98" s="3"/>
      <c r="K98" s="3"/>
      <c r="L98" s="3"/>
      <c r="M98" s="89">
        <f t="shared" si="6"/>
        <v>13.5</v>
      </c>
      <c r="N98" s="77">
        <f t="shared" si="7"/>
        <v>13781.810958339998</v>
      </c>
      <c r="O98" s="77">
        <f t="shared" si="8"/>
        <v>26836.98595834</v>
      </c>
      <c r="P98" s="92">
        <f t="shared" si="9"/>
        <v>1281.0002562686416</v>
      </c>
      <c r="Q98" s="82">
        <f t="shared" si="10"/>
        <v>252.62426778561246</v>
      </c>
      <c r="R98" s="83">
        <f t="shared" si="11"/>
        <v>1133.878338693027</v>
      </c>
      <c r="S98" s="3"/>
      <c r="T98" s="98">
        <f t="shared" si="12"/>
        <v>-1144.6757405739882</v>
      </c>
      <c r="U98" s="99">
        <f t="shared" si="13"/>
        <v>1690.6575927593453</v>
      </c>
    </row>
    <row r="99" spans="1:21" ht="12.75">
      <c r="A99" s="56">
        <f t="shared" si="5"/>
        <v>14</v>
      </c>
      <c r="B99" s="56">
        <f t="shared" si="0"/>
        <v>14033.611984280902</v>
      </c>
      <c r="C99" s="56">
        <f t="shared" si="1"/>
        <v>27327.311984280903</v>
      </c>
      <c r="D99" s="38">
        <f t="shared" si="2"/>
        <v>522.0025445701906</v>
      </c>
      <c r="E99" s="43">
        <f t="shared" si="3"/>
        <v>-493.8534352520294</v>
      </c>
      <c r="F99" s="59"/>
      <c r="G99" s="43">
        <f t="shared" si="4"/>
        <v>1154.5948998066663</v>
      </c>
      <c r="H99" s="3"/>
      <c r="I99" s="3"/>
      <c r="J99" s="3"/>
      <c r="K99" s="3"/>
      <c r="L99" s="3"/>
      <c r="M99" s="89">
        <f t="shared" si="6"/>
        <v>14</v>
      </c>
      <c r="N99" s="77">
        <f t="shared" si="7"/>
        <v>14033.611984280902</v>
      </c>
      <c r="O99" s="77">
        <f t="shared" si="8"/>
        <v>27327.311984280903</v>
      </c>
      <c r="P99" s="92">
        <f t="shared" si="9"/>
        <v>1290.3663963909253</v>
      </c>
      <c r="Q99" s="82">
        <f t="shared" si="10"/>
        <v>274.5104165687054</v>
      </c>
      <c r="R99" s="83">
        <f t="shared" si="11"/>
        <v>1154.5948998066663</v>
      </c>
      <c r="S99" s="3"/>
      <c r="T99" s="98">
        <f t="shared" si="12"/>
        <v>-1144.6757405739882</v>
      </c>
      <c r="U99" s="99">
        <f t="shared" si="13"/>
        <v>1690.6575927593453</v>
      </c>
    </row>
    <row r="100" spans="1:21" ht="12.75">
      <c r="A100" s="56">
        <f t="shared" si="5"/>
        <v>14.5</v>
      </c>
      <c r="B100" s="56">
        <f t="shared" si="0"/>
        <v>14266.938980438908</v>
      </c>
      <c r="C100" s="56">
        <f t="shared" si="1"/>
        <v>27781.663980438912</v>
      </c>
      <c r="D100" s="38">
        <f t="shared" si="2"/>
        <v>530.6815137370611</v>
      </c>
      <c r="E100" s="43">
        <f t="shared" si="3"/>
        <v>-473.57302005536985</v>
      </c>
      <c r="F100" s="59"/>
      <c r="G100" s="43">
        <f t="shared" si="4"/>
        <v>1173.7915371408749</v>
      </c>
      <c r="H100" s="3"/>
      <c r="I100" s="3"/>
      <c r="J100" s="3"/>
      <c r="K100" s="3"/>
      <c r="L100" s="3"/>
      <c r="M100" s="89">
        <f t="shared" si="6"/>
        <v>14.5</v>
      </c>
      <c r="N100" s="77">
        <f t="shared" si="7"/>
        <v>14266.938980438908</v>
      </c>
      <c r="O100" s="77">
        <f t="shared" si="8"/>
        <v>27781.663980438912</v>
      </c>
      <c r="P100" s="92">
        <f t="shared" si="9"/>
        <v>1299.0453655577958</v>
      </c>
      <c r="Q100" s="82">
        <f t="shared" si="10"/>
        <v>294.79083176536494</v>
      </c>
      <c r="R100" s="83">
        <f t="shared" si="11"/>
        <v>1173.7915371408749</v>
      </c>
      <c r="S100" s="3"/>
      <c r="T100" s="98">
        <f t="shared" si="12"/>
        <v>-1144.6757405739882</v>
      </c>
      <c r="U100" s="99">
        <f t="shared" si="13"/>
        <v>1690.6575927593453</v>
      </c>
    </row>
    <row r="101" spans="1:21" ht="12.75">
      <c r="A101" s="56">
        <f t="shared" si="5"/>
        <v>15</v>
      </c>
      <c r="B101" s="56">
        <f t="shared" si="0"/>
        <v>14481.791946814017</v>
      </c>
      <c r="C101" s="56">
        <f t="shared" si="1"/>
        <v>28200.041946814017</v>
      </c>
      <c r="D101" s="38">
        <f t="shared" si="2"/>
        <v>538.6733119485183</v>
      </c>
      <c r="E101" s="43">
        <f t="shared" si="3"/>
        <v>-454.89833844514465</v>
      </c>
      <c r="F101" s="59"/>
      <c r="G101" s="43">
        <f t="shared" si="4"/>
        <v>1191.4682506956528</v>
      </c>
      <c r="H101" s="3"/>
      <c r="I101" s="3"/>
      <c r="J101" s="3"/>
      <c r="K101" s="3"/>
      <c r="L101" s="3"/>
      <c r="M101" s="89">
        <f t="shared" si="6"/>
        <v>15</v>
      </c>
      <c r="N101" s="77">
        <f t="shared" si="7"/>
        <v>14481.791946814017</v>
      </c>
      <c r="O101" s="77">
        <f t="shared" si="8"/>
        <v>28200.041946814017</v>
      </c>
      <c r="P101" s="92">
        <f t="shared" si="9"/>
        <v>1307.037163769253</v>
      </c>
      <c r="Q101" s="82">
        <f t="shared" si="10"/>
        <v>313.46551337559015</v>
      </c>
      <c r="R101" s="83">
        <f t="shared" si="11"/>
        <v>1191.4682506956528</v>
      </c>
      <c r="S101" s="3"/>
      <c r="T101" s="98">
        <f t="shared" si="12"/>
        <v>-1144.6757405739882</v>
      </c>
      <c r="U101" s="99">
        <f t="shared" si="13"/>
        <v>1690.6575927593453</v>
      </c>
    </row>
    <row r="102" spans="1:21" ht="12.75">
      <c r="A102" s="56">
        <f t="shared" si="5"/>
        <v>15.5</v>
      </c>
      <c r="B102" s="56">
        <f t="shared" si="0"/>
        <v>14678.170883406226</v>
      </c>
      <c r="C102" s="56">
        <f t="shared" si="1"/>
        <v>28582.44588340623</v>
      </c>
      <c r="D102" s="38">
        <f t="shared" si="2"/>
        <v>545.9779392045621</v>
      </c>
      <c r="E102" s="43">
        <f t="shared" si="3"/>
        <v>-437.82939042135285</v>
      </c>
      <c r="F102" s="59"/>
      <c r="G102" s="43">
        <f t="shared" si="4"/>
        <v>1207.6250404710001</v>
      </c>
      <c r="H102" s="3"/>
      <c r="I102" s="3"/>
      <c r="J102" s="3"/>
      <c r="K102" s="3"/>
      <c r="L102" s="3"/>
      <c r="M102" s="89">
        <f t="shared" si="6"/>
        <v>15.5</v>
      </c>
      <c r="N102" s="77">
        <f t="shared" si="7"/>
        <v>14678.170883406226</v>
      </c>
      <c r="O102" s="77">
        <f t="shared" si="8"/>
        <v>28582.44588340623</v>
      </c>
      <c r="P102" s="92">
        <f t="shared" si="9"/>
        <v>1314.341791025297</v>
      </c>
      <c r="Q102" s="82">
        <f t="shared" si="10"/>
        <v>330.53446139938194</v>
      </c>
      <c r="R102" s="83">
        <f t="shared" si="11"/>
        <v>1207.6250404710001</v>
      </c>
      <c r="S102" s="3"/>
      <c r="T102" s="98">
        <f t="shared" si="12"/>
        <v>-1144.6757405739882</v>
      </c>
      <c r="U102" s="99">
        <f t="shared" si="13"/>
        <v>1690.6575927593453</v>
      </c>
    </row>
    <row r="103" spans="1:21" ht="12.75">
      <c r="A103" s="56">
        <f t="shared" si="5"/>
        <v>16</v>
      </c>
      <c r="B103" s="56">
        <f aca="true" t="shared" si="14" ref="B103:B134">0.5*$A$27*A103*($C$5-A103)</f>
        <v>14856.075790215538</v>
      </c>
      <c r="C103" s="56">
        <f aca="true" t="shared" si="15" ref="C103:C134">0.5*($E$27+$F$27)*A103*($C$5-A103)</f>
        <v>28928.875790215538</v>
      </c>
      <c r="D103" s="38">
        <f aca="true" t="shared" si="16" ref="D103:D134">1000*B103/($E$39*$C$45)</f>
        <v>552.5953955051926</v>
      </c>
      <c r="E103" s="43">
        <f aca="true" t="shared" si="17" ref="E103:E134">(1000*C103/$C$45)-($D$61+$D$65)</f>
        <v>-422.3661759839954</v>
      </c>
      <c r="F103" s="59"/>
      <c r="G103" s="43">
        <f aca="true" t="shared" si="18" ref="G103:G134">4*$I$71*A103*1000*(1-A103*1000/($C$5*1000))/($C$5*1000)</f>
        <v>1222.2619064669166</v>
      </c>
      <c r="H103" s="3"/>
      <c r="I103" s="3"/>
      <c r="J103" s="3"/>
      <c r="K103" s="3"/>
      <c r="L103" s="3"/>
      <c r="M103" s="89">
        <f t="shared" si="6"/>
        <v>16</v>
      </c>
      <c r="N103" s="77">
        <f t="shared" si="7"/>
        <v>14856.075790215538</v>
      </c>
      <c r="O103" s="77">
        <f t="shared" si="8"/>
        <v>28928.875790215538</v>
      </c>
      <c r="P103" s="92">
        <f t="shared" si="9"/>
        <v>1320.9592473259274</v>
      </c>
      <c r="Q103" s="82">
        <f t="shared" si="10"/>
        <v>345.9976758367394</v>
      </c>
      <c r="R103" s="83">
        <f t="shared" si="11"/>
        <v>1222.2619064669166</v>
      </c>
      <c r="S103" s="3"/>
      <c r="T103" s="98">
        <f t="shared" si="12"/>
        <v>-1144.6757405739882</v>
      </c>
      <c r="U103" s="99">
        <f t="shared" si="13"/>
        <v>1690.6575927593453</v>
      </c>
    </row>
    <row r="104" spans="1:21" ht="12.75">
      <c r="A104" s="56">
        <f t="shared" si="5"/>
        <v>16.5</v>
      </c>
      <c r="B104" s="56">
        <f t="shared" si="14"/>
        <v>15015.50666724195</v>
      </c>
      <c r="C104" s="56">
        <f t="shared" si="15"/>
        <v>29239.33166724195</v>
      </c>
      <c r="D104" s="38">
        <f t="shared" si="16"/>
        <v>558.5256808504098</v>
      </c>
      <c r="E104" s="43">
        <f t="shared" si="17"/>
        <v>-408.50869513307134</v>
      </c>
      <c r="F104" s="59"/>
      <c r="G104" s="43">
        <f t="shared" si="18"/>
        <v>1235.378848683403</v>
      </c>
      <c r="H104" s="3"/>
      <c r="I104" s="3"/>
      <c r="J104" s="3"/>
      <c r="K104" s="3"/>
      <c r="L104" s="3"/>
      <c r="M104" s="89">
        <f t="shared" si="6"/>
        <v>16.5</v>
      </c>
      <c r="N104" s="77">
        <f t="shared" si="7"/>
        <v>15015.50666724195</v>
      </c>
      <c r="O104" s="77">
        <f t="shared" si="8"/>
        <v>29239.33166724195</v>
      </c>
      <c r="P104" s="92">
        <f t="shared" si="9"/>
        <v>1326.8895326711445</v>
      </c>
      <c r="Q104" s="82">
        <f t="shared" si="10"/>
        <v>359.85515668766345</v>
      </c>
      <c r="R104" s="83">
        <f t="shared" si="11"/>
        <v>1235.378848683403</v>
      </c>
      <c r="S104" s="3"/>
      <c r="T104" s="98">
        <f t="shared" si="12"/>
        <v>-1144.6757405739882</v>
      </c>
      <c r="U104" s="99">
        <f t="shared" si="13"/>
        <v>1690.6575927593453</v>
      </c>
    </row>
    <row r="105" spans="1:21" ht="12.75">
      <c r="A105" s="56">
        <f t="shared" si="5"/>
        <v>17</v>
      </c>
      <c r="B105" s="56">
        <f t="shared" si="14"/>
        <v>15156.463514485466</v>
      </c>
      <c r="C105" s="56">
        <f t="shared" si="15"/>
        <v>29513.813514485468</v>
      </c>
      <c r="D105" s="38">
        <f t="shared" si="16"/>
        <v>563.7687952402135</v>
      </c>
      <c r="E105" s="43">
        <f t="shared" si="17"/>
        <v>-396.25694786858116</v>
      </c>
      <c r="F105" s="59"/>
      <c r="G105" s="43">
        <f t="shared" si="18"/>
        <v>1246.9758671204584</v>
      </c>
      <c r="H105" s="3"/>
      <c r="I105" s="3"/>
      <c r="J105" s="3"/>
      <c r="K105" s="3"/>
      <c r="L105" s="3"/>
      <c r="M105" s="89">
        <f t="shared" si="6"/>
        <v>17</v>
      </c>
      <c r="N105" s="77">
        <f t="shared" si="7"/>
        <v>15156.463514485466</v>
      </c>
      <c r="O105" s="77">
        <f t="shared" si="8"/>
        <v>29513.813514485468</v>
      </c>
      <c r="P105" s="92">
        <f t="shared" si="9"/>
        <v>1332.1326470609483</v>
      </c>
      <c r="Q105" s="82">
        <f t="shared" si="10"/>
        <v>372.10690395215363</v>
      </c>
      <c r="R105" s="83">
        <f t="shared" si="11"/>
        <v>1246.9758671204584</v>
      </c>
      <c r="S105" s="3"/>
      <c r="T105" s="98">
        <f t="shared" si="12"/>
        <v>-1144.6757405739882</v>
      </c>
      <c r="U105" s="99">
        <f t="shared" si="13"/>
        <v>1690.6575927593453</v>
      </c>
    </row>
    <row r="106" spans="1:21" ht="12.75">
      <c r="A106" s="56">
        <f t="shared" si="5"/>
        <v>17.5</v>
      </c>
      <c r="B106" s="56">
        <f t="shared" si="14"/>
        <v>15278.946331946081</v>
      </c>
      <c r="C106" s="56">
        <f t="shared" si="15"/>
        <v>29752.32133194608</v>
      </c>
      <c r="D106" s="38">
        <f t="shared" si="16"/>
        <v>568.324738674604</v>
      </c>
      <c r="E106" s="43">
        <f t="shared" si="17"/>
        <v>-385.61093419052486</v>
      </c>
      <c r="F106" s="59"/>
      <c r="G106" s="43">
        <f t="shared" si="18"/>
        <v>1257.0529617780833</v>
      </c>
      <c r="H106" s="3"/>
      <c r="I106" s="3"/>
      <c r="J106" s="3"/>
      <c r="K106" s="3"/>
      <c r="L106" s="3"/>
      <c r="M106" s="89">
        <f t="shared" si="6"/>
        <v>17.5</v>
      </c>
      <c r="N106" s="77">
        <f t="shared" si="7"/>
        <v>15278.946331946081</v>
      </c>
      <c r="O106" s="77">
        <f t="shared" si="8"/>
        <v>29752.32133194608</v>
      </c>
      <c r="P106" s="92">
        <f t="shared" si="9"/>
        <v>1336.6885904953388</v>
      </c>
      <c r="Q106" s="82">
        <f t="shared" si="10"/>
        <v>382.75291763020994</v>
      </c>
      <c r="R106" s="83">
        <f t="shared" si="11"/>
        <v>1257.0529617780833</v>
      </c>
      <c r="S106" s="3"/>
      <c r="T106" s="98">
        <f t="shared" si="12"/>
        <v>-1144.6757405739882</v>
      </c>
      <c r="U106" s="99">
        <f t="shared" si="13"/>
        <v>1690.6575927593453</v>
      </c>
    </row>
    <row r="107" spans="1:21" ht="12.75">
      <c r="A107" s="56">
        <f t="shared" si="5"/>
        <v>18</v>
      </c>
      <c r="B107" s="56">
        <f t="shared" si="14"/>
        <v>15382.955119623799</v>
      </c>
      <c r="C107" s="56">
        <f t="shared" si="15"/>
        <v>29954.8551196238</v>
      </c>
      <c r="D107" s="38">
        <f t="shared" si="16"/>
        <v>572.1935111535811</v>
      </c>
      <c r="E107" s="43">
        <f t="shared" si="17"/>
        <v>-376.5706540989024</v>
      </c>
      <c r="F107" s="59"/>
      <c r="G107" s="43">
        <f t="shared" si="18"/>
        <v>1265.6101326562773</v>
      </c>
      <c r="H107" s="3"/>
      <c r="I107" s="3"/>
      <c r="J107" s="3"/>
      <c r="K107" s="3"/>
      <c r="L107" s="3"/>
      <c r="M107" s="89">
        <f t="shared" si="6"/>
        <v>18</v>
      </c>
      <c r="N107" s="77">
        <f t="shared" si="7"/>
        <v>15382.955119623799</v>
      </c>
      <c r="O107" s="77">
        <f t="shared" si="8"/>
        <v>29954.8551196238</v>
      </c>
      <c r="P107" s="92">
        <f t="shared" si="9"/>
        <v>1340.5573629743158</v>
      </c>
      <c r="Q107" s="82">
        <f t="shared" si="10"/>
        <v>391.79319772183237</v>
      </c>
      <c r="R107" s="83">
        <f t="shared" si="11"/>
        <v>1265.6101326562773</v>
      </c>
      <c r="S107" s="3"/>
      <c r="T107" s="98">
        <f t="shared" si="12"/>
        <v>-1144.6757405739882</v>
      </c>
      <c r="U107" s="99">
        <f t="shared" si="13"/>
        <v>1690.6575927593453</v>
      </c>
    </row>
    <row r="108" spans="1:21" ht="12.75">
      <c r="A108" s="56">
        <f t="shared" si="5"/>
        <v>18.5</v>
      </c>
      <c r="B108" s="56">
        <f t="shared" si="14"/>
        <v>15468.48987751862</v>
      </c>
      <c r="C108" s="56">
        <f t="shared" si="15"/>
        <v>30121.41487751862</v>
      </c>
      <c r="D108" s="38">
        <f t="shared" si="16"/>
        <v>575.3751126771449</v>
      </c>
      <c r="E108" s="43">
        <f t="shared" si="17"/>
        <v>-369.13610759371386</v>
      </c>
      <c r="F108" s="59"/>
      <c r="G108" s="43">
        <f t="shared" si="18"/>
        <v>1272.6473797550414</v>
      </c>
      <c r="H108" s="3"/>
      <c r="I108" s="3"/>
      <c r="J108" s="3"/>
      <c r="K108" s="3"/>
      <c r="L108" s="3"/>
      <c r="M108" s="89">
        <f t="shared" si="6"/>
        <v>18.5</v>
      </c>
      <c r="N108" s="77">
        <f t="shared" si="7"/>
        <v>15468.48987751862</v>
      </c>
      <c r="O108" s="77">
        <f t="shared" si="8"/>
        <v>30121.41487751862</v>
      </c>
      <c r="P108" s="92">
        <f t="shared" si="9"/>
        <v>1343.7389644978798</v>
      </c>
      <c r="Q108" s="82">
        <f t="shared" si="10"/>
        <v>399.22774422702093</v>
      </c>
      <c r="R108" s="83">
        <f t="shared" si="11"/>
        <v>1272.6473797550414</v>
      </c>
      <c r="S108" s="3"/>
      <c r="T108" s="98">
        <f t="shared" si="12"/>
        <v>-1144.6757405739882</v>
      </c>
      <c r="U108" s="99">
        <f t="shared" si="13"/>
        <v>1690.6575927593453</v>
      </c>
    </row>
    <row r="109" spans="1:21" ht="12.75">
      <c r="A109" s="56">
        <f t="shared" si="5"/>
        <v>19</v>
      </c>
      <c r="B109" s="56">
        <f t="shared" si="14"/>
        <v>15535.55060563054</v>
      </c>
      <c r="C109" s="56">
        <f t="shared" si="15"/>
        <v>30252.000605630543</v>
      </c>
      <c r="D109" s="38">
        <f t="shared" si="16"/>
        <v>577.8695432452954</v>
      </c>
      <c r="E109" s="43">
        <f t="shared" si="17"/>
        <v>-363.30729467495894</v>
      </c>
      <c r="F109" s="59"/>
      <c r="G109" s="43">
        <f t="shared" si="18"/>
        <v>1278.1647030743745</v>
      </c>
      <c r="H109" s="3"/>
      <c r="I109" s="3"/>
      <c r="J109" s="3"/>
      <c r="K109" s="3"/>
      <c r="L109" s="3"/>
      <c r="M109" s="89">
        <f t="shared" si="6"/>
        <v>19</v>
      </c>
      <c r="N109" s="77">
        <f t="shared" si="7"/>
        <v>15535.55060563054</v>
      </c>
      <c r="O109" s="77">
        <f t="shared" si="8"/>
        <v>30252.000605630543</v>
      </c>
      <c r="P109" s="92">
        <f t="shared" si="9"/>
        <v>1346.2333950660302</v>
      </c>
      <c r="Q109" s="82">
        <f t="shared" si="10"/>
        <v>405.05655714577586</v>
      </c>
      <c r="R109" s="83">
        <f t="shared" si="11"/>
        <v>1278.1647030743745</v>
      </c>
      <c r="S109" s="3"/>
      <c r="T109" s="98">
        <f t="shared" si="12"/>
        <v>-1144.6757405739882</v>
      </c>
      <c r="U109" s="99">
        <f t="shared" si="13"/>
        <v>1690.6575927593453</v>
      </c>
    </row>
    <row r="110" spans="1:21" ht="12.75">
      <c r="A110" s="56">
        <f t="shared" si="5"/>
        <v>19.5</v>
      </c>
      <c r="B110" s="56">
        <f t="shared" si="14"/>
        <v>15584.137303959564</v>
      </c>
      <c r="C110" s="56">
        <f t="shared" si="15"/>
        <v>30346.612303959562</v>
      </c>
      <c r="D110" s="38">
        <f t="shared" si="16"/>
        <v>579.6768028580325</v>
      </c>
      <c r="E110" s="43">
        <f t="shared" si="17"/>
        <v>-359.0842153426381</v>
      </c>
      <c r="F110" s="59"/>
      <c r="G110" s="43">
        <f t="shared" si="18"/>
        <v>1282.162102614277</v>
      </c>
      <c r="H110" s="3"/>
      <c r="I110" s="3"/>
      <c r="J110" s="3"/>
      <c r="K110" s="3"/>
      <c r="L110" s="3"/>
      <c r="M110" s="89">
        <f t="shared" si="6"/>
        <v>19.5</v>
      </c>
      <c r="N110" s="77">
        <f t="shared" si="7"/>
        <v>15584.137303959564</v>
      </c>
      <c r="O110" s="77">
        <f t="shared" si="8"/>
        <v>30346.612303959562</v>
      </c>
      <c r="P110" s="92">
        <f t="shared" si="9"/>
        <v>1348.0406546787672</v>
      </c>
      <c r="Q110" s="82">
        <f t="shared" si="10"/>
        <v>409.2796364780967</v>
      </c>
      <c r="R110" s="83">
        <f t="shared" si="11"/>
        <v>1282.162102614277</v>
      </c>
      <c r="S110" s="3"/>
      <c r="T110" s="98">
        <f t="shared" si="12"/>
        <v>-1144.6757405739882</v>
      </c>
      <c r="U110" s="99">
        <f t="shared" si="13"/>
        <v>1690.6575927593453</v>
      </c>
    </row>
    <row r="111" spans="1:21" ht="12.75">
      <c r="A111" s="56">
        <f t="shared" si="5"/>
        <v>20</v>
      </c>
      <c r="B111" s="56">
        <f t="shared" si="14"/>
        <v>15614.249972505688</v>
      </c>
      <c r="C111" s="56">
        <f t="shared" si="15"/>
        <v>30405.249972505688</v>
      </c>
      <c r="D111" s="38">
        <f t="shared" si="16"/>
        <v>580.7968915153563</v>
      </c>
      <c r="E111" s="43">
        <f t="shared" si="17"/>
        <v>-356.46686959675094</v>
      </c>
      <c r="F111" s="59"/>
      <c r="G111" s="43">
        <f t="shared" si="18"/>
        <v>1284.6395783747487</v>
      </c>
      <c r="H111" s="3"/>
      <c r="I111" s="3"/>
      <c r="J111" s="3"/>
      <c r="K111" s="3"/>
      <c r="L111" s="3"/>
      <c r="M111" s="89">
        <f t="shared" si="6"/>
        <v>20</v>
      </c>
      <c r="N111" s="77">
        <f t="shared" si="7"/>
        <v>15614.249972505688</v>
      </c>
      <c r="O111" s="77">
        <f t="shared" si="8"/>
        <v>30405.249972505688</v>
      </c>
      <c r="P111" s="92">
        <f t="shared" si="9"/>
        <v>1349.160743336091</v>
      </c>
      <c r="Q111" s="82">
        <f t="shared" si="10"/>
        <v>411.89698222398385</v>
      </c>
      <c r="R111" s="83">
        <f t="shared" si="11"/>
        <v>1284.6395783747487</v>
      </c>
      <c r="S111" s="3"/>
      <c r="T111" s="98">
        <f t="shared" si="12"/>
        <v>-1144.6757405739882</v>
      </c>
      <c r="U111" s="99">
        <f t="shared" si="13"/>
        <v>1690.6575927593453</v>
      </c>
    </row>
    <row r="112" spans="1:21" ht="12.75">
      <c r="A112" s="56">
        <f t="shared" si="5"/>
        <v>20.5</v>
      </c>
      <c r="B112" s="56">
        <f t="shared" si="14"/>
        <v>15625.88861126891</v>
      </c>
      <c r="C112" s="56">
        <f t="shared" si="15"/>
        <v>30427.913611268912</v>
      </c>
      <c r="D112" s="38">
        <f t="shared" si="16"/>
        <v>581.2298092172665</v>
      </c>
      <c r="E112" s="43">
        <f t="shared" si="17"/>
        <v>-355.45525743729763</v>
      </c>
      <c r="F112" s="59"/>
      <c r="G112" s="43">
        <f t="shared" si="18"/>
        <v>1285.5971303557901</v>
      </c>
      <c r="H112" s="3"/>
      <c r="I112" s="3"/>
      <c r="J112" s="3"/>
      <c r="K112" s="3"/>
      <c r="L112" s="3"/>
      <c r="M112" s="89">
        <f t="shared" si="6"/>
        <v>20.5</v>
      </c>
      <c r="N112" s="77">
        <f t="shared" si="7"/>
        <v>15625.88861126891</v>
      </c>
      <c r="O112" s="77">
        <f t="shared" si="8"/>
        <v>30427.913611268912</v>
      </c>
      <c r="P112" s="92">
        <f t="shared" si="9"/>
        <v>1349.5936610380013</v>
      </c>
      <c r="Q112" s="82">
        <f t="shared" si="10"/>
        <v>412.90859438343716</v>
      </c>
      <c r="R112" s="83">
        <f t="shared" si="11"/>
        <v>1285.5971303557901</v>
      </c>
      <c r="S112" s="3"/>
      <c r="T112" s="98">
        <f t="shared" si="12"/>
        <v>-1144.6757405739882</v>
      </c>
      <c r="U112" s="99">
        <f t="shared" si="13"/>
        <v>1690.6575927593453</v>
      </c>
    </row>
    <row r="113" spans="1:21" ht="12.75">
      <c r="A113" s="13">
        <f>$C$5/2</f>
        <v>20.565</v>
      </c>
      <c r="B113" s="50">
        <f t="shared" si="14"/>
        <v>15626.044716820577</v>
      </c>
      <c r="C113" s="50">
        <f t="shared" si="15"/>
        <v>30428.21759182058</v>
      </c>
      <c r="D113" s="44">
        <f t="shared" si="16"/>
        <v>581.2356158118398</v>
      </c>
      <c r="E113" s="9">
        <f t="shared" si="17"/>
        <v>-355.44168898849216</v>
      </c>
      <c r="F113" s="60"/>
      <c r="G113" s="9">
        <f t="shared" si="18"/>
        <v>1285.6099737117263</v>
      </c>
      <c r="H113" s="3"/>
      <c r="I113" s="3"/>
      <c r="J113" s="3"/>
      <c r="K113" s="3"/>
      <c r="L113" s="3"/>
      <c r="M113" s="95">
        <f t="shared" si="6"/>
        <v>20.565</v>
      </c>
      <c r="N113" s="78">
        <f t="shared" si="7"/>
        <v>15626.044716820577</v>
      </c>
      <c r="O113" s="78">
        <f t="shared" si="8"/>
        <v>30428.21759182058</v>
      </c>
      <c r="P113" s="93">
        <f t="shared" si="9"/>
        <v>1349.5994676325745</v>
      </c>
      <c r="Q113" s="84">
        <f t="shared" si="10"/>
        <v>412.92216283224263</v>
      </c>
      <c r="R113" s="85">
        <f t="shared" si="11"/>
        <v>1285.6099737117263</v>
      </c>
      <c r="S113" s="3"/>
      <c r="T113" s="98">
        <f t="shared" si="12"/>
        <v>-1144.6757405739882</v>
      </c>
      <c r="U113" s="99">
        <f t="shared" si="13"/>
        <v>1690.6575927593453</v>
      </c>
    </row>
    <row r="114" spans="1:21" ht="12.75">
      <c r="A114" s="56">
        <f>A112+0.5</f>
        <v>21</v>
      </c>
      <c r="B114" s="56">
        <f t="shared" si="14"/>
        <v>15619.05322024924</v>
      </c>
      <c r="C114" s="56">
        <f t="shared" si="15"/>
        <v>30414.603220249242</v>
      </c>
      <c r="D114" s="38">
        <f t="shared" si="16"/>
        <v>580.9755559637636</v>
      </c>
      <c r="E114" s="43">
        <f t="shared" si="17"/>
        <v>-356.04937886427797</v>
      </c>
      <c r="F114" s="59"/>
      <c r="G114" s="43">
        <f t="shared" si="18"/>
        <v>1285.034758557401</v>
      </c>
      <c r="H114" s="3"/>
      <c r="I114" s="3"/>
      <c r="J114" s="3"/>
      <c r="K114" s="3"/>
      <c r="L114" s="3"/>
      <c r="M114" s="89">
        <f t="shared" si="6"/>
        <v>21</v>
      </c>
      <c r="N114" s="77">
        <f t="shared" si="7"/>
        <v>15619.05322024924</v>
      </c>
      <c r="O114" s="77">
        <f t="shared" si="8"/>
        <v>30414.603220249242</v>
      </c>
      <c r="P114" s="92">
        <f t="shared" si="9"/>
        <v>1349.3394077844982</v>
      </c>
      <c r="Q114" s="82">
        <f t="shared" si="10"/>
        <v>412.3144729564568</v>
      </c>
      <c r="R114" s="83">
        <f t="shared" si="11"/>
        <v>1285.034758557401</v>
      </c>
      <c r="S114" s="3"/>
      <c r="T114" s="98">
        <f t="shared" si="12"/>
        <v>-1144.6757405739882</v>
      </c>
      <c r="U114" s="99">
        <f t="shared" si="13"/>
        <v>1690.6575927593453</v>
      </c>
    </row>
    <row r="115" spans="1:21" ht="12.75">
      <c r="A115" s="56">
        <f aca="true" t="shared" si="19" ref="A115:A154">A114+0.5</f>
        <v>21.5</v>
      </c>
      <c r="B115" s="56">
        <f t="shared" si="14"/>
        <v>15593.743799446669</v>
      </c>
      <c r="C115" s="56">
        <f t="shared" si="15"/>
        <v>30365.31879944667</v>
      </c>
      <c r="D115" s="38">
        <f t="shared" si="16"/>
        <v>580.0341317548473</v>
      </c>
      <c r="E115" s="43">
        <f t="shared" si="17"/>
        <v>-358.2492338776924</v>
      </c>
      <c r="F115" s="59"/>
      <c r="G115" s="43">
        <f t="shared" si="18"/>
        <v>1282.952462979581</v>
      </c>
      <c r="H115" s="3"/>
      <c r="I115" s="3"/>
      <c r="J115" s="3"/>
      <c r="K115" s="3"/>
      <c r="L115" s="3"/>
      <c r="M115" s="89">
        <f t="shared" si="6"/>
        <v>21.5</v>
      </c>
      <c r="N115" s="77">
        <f t="shared" si="7"/>
        <v>15593.743799446669</v>
      </c>
      <c r="O115" s="77">
        <f t="shared" si="8"/>
        <v>30365.31879944667</v>
      </c>
      <c r="P115" s="92">
        <f t="shared" si="9"/>
        <v>1348.3979835755822</v>
      </c>
      <c r="Q115" s="82">
        <f t="shared" si="10"/>
        <v>410.1146179430424</v>
      </c>
      <c r="R115" s="83">
        <f t="shared" si="11"/>
        <v>1282.952462979581</v>
      </c>
      <c r="S115" s="3"/>
      <c r="T115" s="98">
        <f t="shared" si="12"/>
        <v>-1144.6757405739882</v>
      </c>
      <c r="U115" s="99">
        <f t="shared" si="13"/>
        <v>1690.6575927593453</v>
      </c>
    </row>
    <row r="116" spans="1:21" ht="12.75">
      <c r="A116" s="56">
        <f t="shared" si="19"/>
        <v>22</v>
      </c>
      <c r="B116" s="56">
        <f t="shared" si="14"/>
        <v>15549.9603488612</v>
      </c>
      <c r="C116" s="56">
        <f t="shared" si="15"/>
        <v>30280.060348861203</v>
      </c>
      <c r="D116" s="38">
        <f t="shared" si="16"/>
        <v>578.4055365905176</v>
      </c>
      <c r="E116" s="43">
        <f t="shared" si="17"/>
        <v>-362.0548224775407</v>
      </c>
      <c r="F116" s="59"/>
      <c r="G116" s="43">
        <f t="shared" si="18"/>
        <v>1279.3502436223303</v>
      </c>
      <c r="H116" s="3"/>
      <c r="I116" s="3"/>
      <c r="J116" s="3"/>
      <c r="K116" s="3"/>
      <c r="L116" s="3"/>
      <c r="M116" s="89">
        <f t="shared" si="6"/>
        <v>22</v>
      </c>
      <c r="N116" s="77">
        <f t="shared" si="7"/>
        <v>15549.9603488612</v>
      </c>
      <c r="O116" s="77">
        <f t="shared" si="8"/>
        <v>30280.060348861203</v>
      </c>
      <c r="P116" s="92">
        <f t="shared" si="9"/>
        <v>1346.7693884112523</v>
      </c>
      <c r="Q116" s="82">
        <f t="shared" si="10"/>
        <v>406.3090293431941</v>
      </c>
      <c r="R116" s="83">
        <f t="shared" si="11"/>
        <v>1279.3502436223303</v>
      </c>
      <c r="S116" s="3"/>
      <c r="T116" s="98">
        <f t="shared" si="12"/>
        <v>-1144.6757405739882</v>
      </c>
      <c r="U116" s="99">
        <f t="shared" si="13"/>
        <v>1690.6575927593453</v>
      </c>
    </row>
    <row r="117" spans="1:21" ht="12.75">
      <c r="A117" s="56">
        <f t="shared" si="19"/>
        <v>22.5</v>
      </c>
      <c r="B117" s="56">
        <f t="shared" si="14"/>
        <v>15487.702868492832</v>
      </c>
      <c r="C117" s="56">
        <f t="shared" si="15"/>
        <v>30158.827868492834</v>
      </c>
      <c r="D117" s="38">
        <f t="shared" si="16"/>
        <v>576.0897704707747</v>
      </c>
      <c r="E117" s="43">
        <f t="shared" si="17"/>
        <v>-367.46614466382266</v>
      </c>
      <c r="F117" s="59"/>
      <c r="G117" s="43">
        <f t="shared" si="18"/>
        <v>1274.2281004856493</v>
      </c>
      <c r="H117" s="3"/>
      <c r="I117" s="3"/>
      <c r="J117" s="3"/>
      <c r="K117" s="3"/>
      <c r="L117" s="3"/>
      <c r="M117" s="89">
        <f t="shared" si="6"/>
        <v>22.5</v>
      </c>
      <c r="N117" s="77">
        <f t="shared" si="7"/>
        <v>15487.702868492832</v>
      </c>
      <c r="O117" s="77">
        <f t="shared" si="8"/>
        <v>30158.827868492834</v>
      </c>
      <c r="P117" s="92">
        <f t="shared" si="9"/>
        <v>1344.4536222915094</v>
      </c>
      <c r="Q117" s="82">
        <f t="shared" si="10"/>
        <v>400.89770715691213</v>
      </c>
      <c r="R117" s="83">
        <f t="shared" si="11"/>
        <v>1274.2281004856493</v>
      </c>
      <c r="S117" s="3"/>
      <c r="T117" s="98">
        <f t="shared" si="12"/>
        <v>-1144.6757405739882</v>
      </c>
      <c r="U117" s="99">
        <f t="shared" si="13"/>
        <v>1690.6575927593453</v>
      </c>
    </row>
    <row r="118" spans="1:21" ht="12.75">
      <c r="A118" s="56">
        <f t="shared" si="19"/>
        <v>23</v>
      </c>
      <c r="B118" s="56">
        <f t="shared" si="14"/>
        <v>15406.971358341567</v>
      </c>
      <c r="C118" s="56">
        <f t="shared" si="15"/>
        <v>30001.62135834157</v>
      </c>
      <c r="D118" s="38">
        <f t="shared" si="16"/>
        <v>573.0868333956184</v>
      </c>
      <c r="E118" s="43">
        <f t="shared" si="17"/>
        <v>-374.48320043653825</v>
      </c>
      <c r="F118" s="59"/>
      <c r="G118" s="43">
        <f t="shared" si="18"/>
        <v>1267.5860335695374</v>
      </c>
      <c r="H118" s="3"/>
      <c r="I118" s="3"/>
      <c r="J118" s="3"/>
      <c r="K118" s="3"/>
      <c r="L118" s="3"/>
      <c r="M118" s="89">
        <f t="shared" si="6"/>
        <v>23</v>
      </c>
      <c r="N118" s="77">
        <f t="shared" si="7"/>
        <v>15406.971358341567</v>
      </c>
      <c r="O118" s="77">
        <f t="shared" si="8"/>
        <v>30001.62135834157</v>
      </c>
      <c r="P118" s="92">
        <f t="shared" si="9"/>
        <v>1341.4506852163531</v>
      </c>
      <c r="Q118" s="82">
        <f t="shared" si="10"/>
        <v>393.88065138419654</v>
      </c>
      <c r="R118" s="83">
        <f t="shared" si="11"/>
        <v>1267.5860335695374</v>
      </c>
      <c r="S118" s="3"/>
      <c r="T118" s="98">
        <f t="shared" si="12"/>
        <v>-1144.6757405739882</v>
      </c>
      <c r="U118" s="99">
        <f t="shared" si="13"/>
        <v>1690.6575927593453</v>
      </c>
    </row>
    <row r="119" spans="1:21" ht="12.75">
      <c r="A119" s="56">
        <f t="shared" si="19"/>
        <v>23.5</v>
      </c>
      <c r="B119" s="56">
        <f t="shared" si="14"/>
        <v>15307.765818407403</v>
      </c>
      <c r="C119" s="56">
        <f t="shared" si="15"/>
        <v>29808.440818407405</v>
      </c>
      <c r="D119" s="38">
        <f t="shared" si="16"/>
        <v>569.3967253650488</v>
      </c>
      <c r="E119" s="43">
        <f t="shared" si="17"/>
        <v>-383.1059897956882</v>
      </c>
      <c r="F119" s="59"/>
      <c r="G119" s="43">
        <f t="shared" si="18"/>
        <v>1259.4240428739952</v>
      </c>
      <c r="H119" s="3"/>
      <c r="I119" s="3"/>
      <c r="J119" s="3"/>
      <c r="K119" s="3"/>
      <c r="L119" s="3"/>
      <c r="M119" s="89">
        <f t="shared" si="6"/>
        <v>23.5</v>
      </c>
      <c r="N119" s="77">
        <f t="shared" si="7"/>
        <v>15307.765818407403</v>
      </c>
      <c r="O119" s="77">
        <f t="shared" si="8"/>
        <v>29808.440818407405</v>
      </c>
      <c r="P119" s="92">
        <f t="shared" si="9"/>
        <v>1337.7605771857836</v>
      </c>
      <c r="Q119" s="82">
        <f t="shared" si="10"/>
        <v>385.2578620250466</v>
      </c>
      <c r="R119" s="83">
        <f t="shared" si="11"/>
        <v>1259.4240428739952</v>
      </c>
      <c r="S119" s="3"/>
      <c r="T119" s="98">
        <f t="shared" si="12"/>
        <v>-1144.6757405739882</v>
      </c>
      <c r="U119" s="99">
        <f t="shared" si="13"/>
        <v>1690.6575927593453</v>
      </c>
    </row>
    <row r="120" spans="1:21" ht="12.75">
      <c r="A120" s="56">
        <f t="shared" si="19"/>
        <v>24</v>
      </c>
      <c r="B120" s="56">
        <f t="shared" si="14"/>
        <v>15190.08624869034</v>
      </c>
      <c r="C120" s="56">
        <f t="shared" si="15"/>
        <v>29579.28624869034</v>
      </c>
      <c r="D120" s="38">
        <f t="shared" si="16"/>
        <v>565.0194463790658</v>
      </c>
      <c r="E120" s="43">
        <f t="shared" si="17"/>
        <v>-393.33451274127174</v>
      </c>
      <c r="F120" s="59"/>
      <c r="G120" s="43">
        <f t="shared" si="18"/>
        <v>1249.742128399022</v>
      </c>
      <c r="H120" s="3"/>
      <c r="I120" s="3"/>
      <c r="J120" s="3"/>
      <c r="K120" s="3"/>
      <c r="L120" s="3"/>
      <c r="M120" s="89">
        <f t="shared" si="6"/>
        <v>24</v>
      </c>
      <c r="N120" s="77">
        <f t="shared" si="7"/>
        <v>15190.08624869034</v>
      </c>
      <c r="O120" s="77">
        <f t="shared" si="8"/>
        <v>29579.28624869034</v>
      </c>
      <c r="P120" s="92">
        <f t="shared" si="9"/>
        <v>1333.3832981998007</v>
      </c>
      <c r="Q120" s="82">
        <f t="shared" si="10"/>
        <v>375.02933907946306</v>
      </c>
      <c r="R120" s="83">
        <f t="shared" si="11"/>
        <v>1249.742128399022</v>
      </c>
      <c r="S120" s="3"/>
      <c r="T120" s="98">
        <f t="shared" si="12"/>
        <v>-1144.6757405739882</v>
      </c>
      <c r="U120" s="99">
        <f t="shared" si="13"/>
        <v>1690.6575927593453</v>
      </c>
    </row>
    <row r="121" spans="1:21" ht="12.75">
      <c r="A121" s="56">
        <f t="shared" si="19"/>
        <v>24.5</v>
      </c>
      <c r="B121" s="56">
        <f t="shared" si="14"/>
        <v>15053.93264919038</v>
      </c>
      <c r="C121" s="56">
        <f t="shared" si="15"/>
        <v>29314.157649190383</v>
      </c>
      <c r="D121" s="38">
        <f t="shared" si="16"/>
        <v>559.9549964376695</v>
      </c>
      <c r="E121" s="43">
        <f t="shared" si="17"/>
        <v>-405.1687692732887</v>
      </c>
      <c r="F121" s="59"/>
      <c r="G121" s="43">
        <f t="shared" si="18"/>
        <v>1238.5402901446184</v>
      </c>
      <c r="H121" s="3"/>
      <c r="I121" s="3"/>
      <c r="J121" s="3"/>
      <c r="K121" s="3"/>
      <c r="L121" s="3"/>
      <c r="M121" s="89">
        <f t="shared" si="6"/>
        <v>24.5</v>
      </c>
      <c r="N121" s="77">
        <f t="shared" si="7"/>
        <v>15053.93264919038</v>
      </c>
      <c r="O121" s="77">
        <f t="shared" si="8"/>
        <v>29314.157649190383</v>
      </c>
      <c r="P121" s="92">
        <f t="shared" si="9"/>
        <v>1328.3188482584042</v>
      </c>
      <c r="Q121" s="82">
        <f t="shared" si="10"/>
        <v>363.1950825474461</v>
      </c>
      <c r="R121" s="83">
        <f t="shared" si="11"/>
        <v>1238.5402901446184</v>
      </c>
      <c r="S121" s="3"/>
      <c r="T121" s="98">
        <f t="shared" si="12"/>
        <v>-1144.6757405739882</v>
      </c>
      <c r="U121" s="99">
        <f t="shared" si="13"/>
        <v>1690.6575927593453</v>
      </c>
    </row>
    <row r="122" spans="1:21" ht="12.75">
      <c r="A122" s="56">
        <f t="shared" si="19"/>
        <v>25</v>
      </c>
      <c r="B122" s="56">
        <f t="shared" si="14"/>
        <v>14899.30501990752</v>
      </c>
      <c r="C122" s="56">
        <f t="shared" si="15"/>
        <v>29013.055019907522</v>
      </c>
      <c r="D122" s="38">
        <f t="shared" si="16"/>
        <v>554.2033755408598</v>
      </c>
      <c r="E122" s="43">
        <f t="shared" si="17"/>
        <v>-418.60875939174</v>
      </c>
      <c r="F122" s="59"/>
      <c r="G122" s="43">
        <f t="shared" si="18"/>
        <v>1225.8185281107844</v>
      </c>
      <c r="H122" s="3"/>
      <c r="I122" s="3"/>
      <c r="J122" s="3"/>
      <c r="K122" s="3"/>
      <c r="L122" s="3"/>
      <c r="M122" s="89">
        <f t="shared" si="6"/>
        <v>25</v>
      </c>
      <c r="N122" s="77">
        <f t="shared" si="7"/>
        <v>14899.30501990752</v>
      </c>
      <c r="O122" s="77">
        <f t="shared" si="8"/>
        <v>29013.055019907522</v>
      </c>
      <c r="P122" s="92">
        <f t="shared" si="9"/>
        <v>1322.5672273615946</v>
      </c>
      <c r="Q122" s="82">
        <f t="shared" si="10"/>
        <v>349.7550924289948</v>
      </c>
      <c r="R122" s="83">
        <f t="shared" si="11"/>
        <v>1225.8185281107844</v>
      </c>
      <c r="S122" s="3"/>
      <c r="T122" s="98">
        <f t="shared" si="12"/>
        <v>-1144.6757405739882</v>
      </c>
      <c r="U122" s="99">
        <f t="shared" si="13"/>
        <v>1690.6575927593453</v>
      </c>
    </row>
    <row r="123" spans="1:21" ht="12.75">
      <c r="A123" s="56">
        <f t="shared" si="19"/>
        <v>25.5</v>
      </c>
      <c r="B123" s="56">
        <f t="shared" si="14"/>
        <v>14726.203360841764</v>
      </c>
      <c r="C123" s="56">
        <f t="shared" si="15"/>
        <v>28675.978360841767</v>
      </c>
      <c r="D123" s="38">
        <f t="shared" si="16"/>
        <v>547.7645836886369</v>
      </c>
      <c r="E123" s="43">
        <f t="shared" si="17"/>
        <v>-433.654483096625</v>
      </c>
      <c r="F123" s="59"/>
      <c r="G123" s="43">
        <f t="shared" si="18"/>
        <v>1211.5768422975195</v>
      </c>
      <c r="H123" s="3"/>
      <c r="I123" s="3"/>
      <c r="J123" s="3"/>
      <c r="K123" s="3"/>
      <c r="L123" s="3"/>
      <c r="M123" s="89">
        <f t="shared" si="6"/>
        <v>25.5</v>
      </c>
      <c r="N123" s="77">
        <f t="shared" si="7"/>
        <v>14726.203360841764</v>
      </c>
      <c r="O123" s="77">
        <f t="shared" si="8"/>
        <v>28675.978360841767</v>
      </c>
      <c r="P123" s="92">
        <f t="shared" si="9"/>
        <v>1316.1284355093717</v>
      </c>
      <c r="Q123" s="82">
        <f t="shared" si="10"/>
        <v>334.7093687241098</v>
      </c>
      <c r="R123" s="83">
        <f t="shared" si="11"/>
        <v>1211.5768422975195</v>
      </c>
      <c r="S123" s="3"/>
      <c r="T123" s="98">
        <f t="shared" si="12"/>
        <v>-1144.6757405739882</v>
      </c>
      <c r="U123" s="99">
        <f t="shared" si="13"/>
        <v>1690.6575927593453</v>
      </c>
    </row>
    <row r="124" spans="1:21" ht="12.75">
      <c r="A124" s="56">
        <f t="shared" si="19"/>
        <v>26</v>
      </c>
      <c r="B124" s="56">
        <f t="shared" si="14"/>
        <v>14534.627671993108</v>
      </c>
      <c r="C124" s="56">
        <f t="shared" si="15"/>
        <v>28302.927671993108</v>
      </c>
      <c r="D124" s="38">
        <f t="shared" si="16"/>
        <v>540.6386208810005</v>
      </c>
      <c r="E124" s="43">
        <f t="shared" si="17"/>
        <v>-450.3059403879438</v>
      </c>
      <c r="F124" s="59"/>
      <c r="G124" s="43">
        <f t="shared" si="18"/>
        <v>1195.8152327048242</v>
      </c>
      <c r="H124" s="3"/>
      <c r="I124" s="3"/>
      <c r="J124" s="3"/>
      <c r="K124" s="3"/>
      <c r="L124" s="3"/>
      <c r="M124" s="89">
        <f t="shared" si="6"/>
        <v>26</v>
      </c>
      <c r="N124" s="77">
        <f t="shared" si="7"/>
        <v>14534.627671993108</v>
      </c>
      <c r="O124" s="77">
        <f t="shared" si="8"/>
        <v>28302.927671993108</v>
      </c>
      <c r="P124" s="92">
        <f t="shared" si="9"/>
        <v>1309.0024727017353</v>
      </c>
      <c r="Q124" s="82">
        <f t="shared" si="10"/>
        <v>318.057911432791</v>
      </c>
      <c r="R124" s="83">
        <f t="shared" si="11"/>
        <v>1195.8152327048242</v>
      </c>
      <c r="S124" s="3"/>
      <c r="T124" s="98">
        <f t="shared" si="12"/>
        <v>-1144.6757405739882</v>
      </c>
      <c r="U124" s="99">
        <f t="shared" si="13"/>
        <v>1690.6575927593453</v>
      </c>
    </row>
    <row r="125" spans="1:21" ht="12.75">
      <c r="A125" s="56">
        <f t="shared" si="19"/>
        <v>26.5</v>
      </c>
      <c r="B125" s="56">
        <f t="shared" si="14"/>
        <v>14324.577953361553</v>
      </c>
      <c r="C125" s="56">
        <f t="shared" si="15"/>
        <v>27893.902953361558</v>
      </c>
      <c r="D125" s="38">
        <f t="shared" si="16"/>
        <v>532.8254871179508</v>
      </c>
      <c r="E125" s="43">
        <f t="shared" si="17"/>
        <v>-468.56313126569626</v>
      </c>
      <c r="F125" s="59"/>
      <c r="G125" s="43">
        <f t="shared" si="18"/>
        <v>1178.533699332698</v>
      </c>
      <c r="H125" s="3"/>
      <c r="I125" s="3"/>
      <c r="J125" s="3"/>
      <c r="K125" s="3"/>
      <c r="L125" s="3"/>
      <c r="M125" s="89">
        <f t="shared" si="6"/>
        <v>26.5</v>
      </c>
      <c r="N125" s="77">
        <f t="shared" si="7"/>
        <v>14324.577953361553</v>
      </c>
      <c r="O125" s="77">
        <f t="shared" si="8"/>
        <v>27893.902953361558</v>
      </c>
      <c r="P125" s="92">
        <f t="shared" si="9"/>
        <v>1301.1893389386855</v>
      </c>
      <c r="Q125" s="82">
        <f t="shared" si="10"/>
        <v>299.80072055503854</v>
      </c>
      <c r="R125" s="83">
        <f t="shared" si="11"/>
        <v>1178.533699332698</v>
      </c>
      <c r="S125" s="3"/>
      <c r="T125" s="98">
        <f t="shared" si="12"/>
        <v>-1144.6757405739882</v>
      </c>
      <c r="U125" s="99">
        <f t="shared" si="13"/>
        <v>1690.6575927593453</v>
      </c>
    </row>
    <row r="126" spans="1:21" ht="12.75">
      <c r="A126" s="56">
        <f t="shared" si="19"/>
        <v>27</v>
      </c>
      <c r="B126" s="56">
        <f t="shared" si="14"/>
        <v>14096.0542049471</v>
      </c>
      <c r="C126" s="56">
        <f t="shared" si="15"/>
        <v>27448.904204947103</v>
      </c>
      <c r="D126" s="38">
        <f t="shared" si="16"/>
        <v>524.3251823994877</v>
      </c>
      <c r="E126" s="43">
        <f t="shared" si="17"/>
        <v>-488.4260557298828</v>
      </c>
      <c r="F126" s="59"/>
      <c r="G126" s="43">
        <f t="shared" si="18"/>
        <v>1159.7322421811416</v>
      </c>
      <c r="H126" s="3"/>
      <c r="I126" s="3"/>
      <c r="J126" s="3"/>
      <c r="K126" s="3"/>
      <c r="L126" s="3"/>
      <c r="M126" s="89">
        <f t="shared" si="6"/>
        <v>27</v>
      </c>
      <c r="N126" s="77">
        <f t="shared" si="7"/>
        <v>14096.0542049471</v>
      </c>
      <c r="O126" s="77">
        <f t="shared" si="8"/>
        <v>27448.904204947103</v>
      </c>
      <c r="P126" s="92">
        <f t="shared" si="9"/>
        <v>1292.6890342202225</v>
      </c>
      <c r="Q126" s="82">
        <f t="shared" si="10"/>
        <v>279.937796090852</v>
      </c>
      <c r="R126" s="83">
        <f t="shared" si="11"/>
        <v>1159.7322421811416</v>
      </c>
      <c r="S126" s="3"/>
      <c r="T126" s="98">
        <f t="shared" si="12"/>
        <v>-1144.6757405739882</v>
      </c>
      <c r="U126" s="99">
        <f t="shared" si="13"/>
        <v>1690.6575927593453</v>
      </c>
    </row>
    <row r="127" spans="1:21" ht="12.75">
      <c r="A127" s="56">
        <f t="shared" si="19"/>
        <v>27.5</v>
      </c>
      <c r="B127" s="56">
        <f t="shared" si="14"/>
        <v>13849.05642674975</v>
      </c>
      <c r="C127" s="56">
        <f t="shared" si="15"/>
        <v>26967.931426749754</v>
      </c>
      <c r="D127" s="38">
        <f t="shared" si="16"/>
        <v>515.1377067256115</v>
      </c>
      <c r="E127" s="43">
        <f t="shared" si="17"/>
        <v>-509.894713780503</v>
      </c>
      <c r="F127" s="59"/>
      <c r="G127" s="43">
        <f t="shared" si="18"/>
        <v>1139.4108612501543</v>
      </c>
      <c r="H127" s="3"/>
      <c r="I127" s="3"/>
      <c r="J127" s="3"/>
      <c r="K127" s="3"/>
      <c r="L127" s="3"/>
      <c r="M127" s="89">
        <f t="shared" si="6"/>
        <v>27.5</v>
      </c>
      <c r="N127" s="77">
        <f t="shared" si="7"/>
        <v>13849.05642674975</v>
      </c>
      <c r="O127" s="77">
        <f t="shared" si="8"/>
        <v>26967.931426749754</v>
      </c>
      <c r="P127" s="92">
        <f t="shared" si="9"/>
        <v>1283.5015585463461</v>
      </c>
      <c r="Q127" s="82">
        <f t="shared" si="10"/>
        <v>258.46913804023177</v>
      </c>
      <c r="R127" s="83">
        <f t="shared" si="11"/>
        <v>1139.4108612501543</v>
      </c>
      <c r="S127" s="3"/>
      <c r="T127" s="98">
        <f t="shared" si="12"/>
        <v>-1144.6757405739882</v>
      </c>
      <c r="U127" s="99">
        <f t="shared" si="13"/>
        <v>1690.6575927593453</v>
      </c>
    </row>
    <row r="128" spans="1:21" ht="12.75">
      <c r="A128" s="56">
        <f t="shared" si="19"/>
        <v>28</v>
      </c>
      <c r="B128" s="56">
        <f t="shared" si="14"/>
        <v>13583.584618769499</v>
      </c>
      <c r="C128" s="56">
        <f t="shared" si="15"/>
        <v>26450.984618769504</v>
      </c>
      <c r="D128" s="38">
        <f t="shared" si="16"/>
        <v>505.2630600963216</v>
      </c>
      <c r="E128" s="43">
        <f t="shared" si="17"/>
        <v>-532.9691054175571</v>
      </c>
      <c r="F128" s="59"/>
      <c r="G128" s="43">
        <f t="shared" si="18"/>
        <v>1117.5695565397366</v>
      </c>
      <c r="H128" s="3"/>
      <c r="I128" s="3"/>
      <c r="J128" s="3"/>
      <c r="K128" s="3"/>
      <c r="L128" s="3"/>
      <c r="M128" s="89">
        <f t="shared" si="6"/>
        <v>28</v>
      </c>
      <c r="N128" s="77">
        <f t="shared" si="7"/>
        <v>13583.584618769499</v>
      </c>
      <c r="O128" s="77">
        <f t="shared" si="8"/>
        <v>26450.984618769504</v>
      </c>
      <c r="P128" s="92">
        <f t="shared" si="9"/>
        <v>1273.6269119170565</v>
      </c>
      <c r="Q128" s="82">
        <f t="shared" si="10"/>
        <v>235.3947464031777</v>
      </c>
      <c r="R128" s="83">
        <f t="shared" si="11"/>
        <v>1117.5695565397366</v>
      </c>
      <c r="S128" s="3"/>
      <c r="T128" s="98">
        <f t="shared" si="12"/>
        <v>-1144.6757405739882</v>
      </c>
      <c r="U128" s="99">
        <f t="shared" si="13"/>
        <v>1690.6575927593453</v>
      </c>
    </row>
    <row r="129" spans="1:21" ht="12.75">
      <c r="A129" s="56">
        <f t="shared" si="19"/>
        <v>28.5</v>
      </c>
      <c r="B129" s="56">
        <f t="shared" si="14"/>
        <v>13299.638781006353</v>
      </c>
      <c r="C129" s="56">
        <f t="shared" si="15"/>
        <v>25898.063781006356</v>
      </c>
      <c r="D129" s="38">
        <f t="shared" si="16"/>
        <v>494.7012425116186</v>
      </c>
      <c r="E129" s="43">
        <f t="shared" si="17"/>
        <v>-557.649230641045</v>
      </c>
      <c r="F129" s="59"/>
      <c r="G129" s="43">
        <f t="shared" si="18"/>
        <v>1094.2083280498878</v>
      </c>
      <c r="H129" s="3"/>
      <c r="I129" s="3"/>
      <c r="J129" s="3"/>
      <c r="K129" s="3"/>
      <c r="L129" s="3"/>
      <c r="M129" s="89">
        <f t="shared" si="6"/>
        <v>28.5</v>
      </c>
      <c r="N129" s="77">
        <f t="shared" si="7"/>
        <v>13299.638781006353</v>
      </c>
      <c r="O129" s="77">
        <f t="shared" si="8"/>
        <v>25898.063781006356</v>
      </c>
      <c r="P129" s="92">
        <f t="shared" si="9"/>
        <v>1263.0650943323535</v>
      </c>
      <c r="Q129" s="82">
        <f t="shared" si="10"/>
        <v>210.71462117968974</v>
      </c>
      <c r="R129" s="83">
        <f t="shared" si="11"/>
        <v>1094.2083280498878</v>
      </c>
      <c r="S129" s="3"/>
      <c r="T129" s="98">
        <f t="shared" si="12"/>
        <v>-1144.6757405739882</v>
      </c>
      <c r="U129" s="99">
        <f t="shared" si="13"/>
        <v>1690.6575927593453</v>
      </c>
    </row>
    <row r="130" spans="1:21" ht="12.75">
      <c r="A130" s="56">
        <f t="shared" si="19"/>
        <v>29</v>
      </c>
      <c r="B130" s="56">
        <f t="shared" si="14"/>
        <v>12997.218913460307</v>
      </c>
      <c r="C130" s="56">
        <f t="shared" si="15"/>
        <v>25309.16891346031</v>
      </c>
      <c r="D130" s="38">
        <f t="shared" si="16"/>
        <v>483.4522539715022</v>
      </c>
      <c r="E130" s="43">
        <f t="shared" si="17"/>
        <v>-583.9350894509669</v>
      </c>
      <c r="F130" s="59"/>
      <c r="G130" s="43">
        <f t="shared" si="18"/>
        <v>1069.3271757806094</v>
      </c>
      <c r="H130" s="3"/>
      <c r="I130" s="3"/>
      <c r="J130" s="3"/>
      <c r="K130" s="3"/>
      <c r="L130" s="3"/>
      <c r="M130" s="89">
        <f t="shared" si="6"/>
        <v>29</v>
      </c>
      <c r="N130" s="77">
        <f t="shared" si="7"/>
        <v>12997.218913460307</v>
      </c>
      <c r="O130" s="77">
        <f t="shared" si="8"/>
        <v>25309.16891346031</v>
      </c>
      <c r="P130" s="92">
        <f t="shared" si="9"/>
        <v>1251.816105792237</v>
      </c>
      <c r="Q130" s="82">
        <f t="shared" si="10"/>
        <v>184.42876236976792</v>
      </c>
      <c r="R130" s="83">
        <f t="shared" si="11"/>
        <v>1069.3271757806094</v>
      </c>
      <c r="S130" s="3"/>
      <c r="T130" s="98">
        <f t="shared" si="12"/>
        <v>-1144.6757405739882</v>
      </c>
      <c r="U130" s="99">
        <f t="shared" si="13"/>
        <v>1690.6575927593453</v>
      </c>
    </row>
    <row r="131" spans="1:21" ht="12.75">
      <c r="A131" s="56">
        <f t="shared" si="19"/>
        <v>29.5</v>
      </c>
      <c r="B131" s="56">
        <f t="shared" si="14"/>
        <v>12676.325016131364</v>
      </c>
      <c r="C131" s="56">
        <f t="shared" si="15"/>
        <v>24684.300016131365</v>
      </c>
      <c r="D131" s="38">
        <f t="shared" si="16"/>
        <v>471.5160944759725</v>
      </c>
      <c r="E131" s="43">
        <f t="shared" si="17"/>
        <v>-611.8266818473226</v>
      </c>
      <c r="F131" s="59"/>
      <c r="G131" s="43">
        <f t="shared" si="18"/>
        <v>1042.9260997318993</v>
      </c>
      <c r="H131" s="3"/>
      <c r="I131" s="3"/>
      <c r="J131" s="3"/>
      <c r="K131" s="3"/>
      <c r="L131" s="3"/>
      <c r="M131" s="89">
        <f t="shared" si="6"/>
        <v>29.5</v>
      </c>
      <c r="N131" s="77">
        <f t="shared" si="7"/>
        <v>12676.325016131364</v>
      </c>
      <c r="O131" s="77">
        <f t="shared" si="8"/>
        <v>24684.300016131365</v>
      </c>
      <c r="P131" s="92">
        <f t="shared" si="9"/>
        <v>1239.8799462967072</v>
      </c>
      <c r="Q131" s="82">
        <f t="shared" si="10"/>
        <v>156.53716997341223</v>
      </c>
      <c r="R131" s="83">
        <f t="shared" si="11"/>
        <v>1042.9260997318993</v>
      </c>
      <c r="S131" s="3"/>
      <c r="T131" s="98">
        <f t="shared" si="12"/>
        <v>-1144.6757405739882</v>
      </c>
      <c r="U131" s="99">
        <f t="shared" si="13"/>
        <v>1690.6575927593453</v>
      </c>
    </row>
    <row r="132" spans="1:21" ht="12.75">
      <c r="A132" s="56">
        <f t="shared" si="19"/>
        <v>30</v>
      </c>
      <c r="B132" s="56">
        <f t="shared" si="14"/>
        <v>12336.95708901952</v>
      </c>
      <c r="C132" s="56">
        <f t="shared" si="15"/>
        <v>24023.45708901952</v>
      </c>
      <c r="D132" s="38">
        <f t="shared" si="16"/>
        <v>458.89276402502935</v>
      </c>
      <c r="E132" s="43">
        <f t="shared" si="17"/>
        <v>-641.3240078301119</v>
      </c>
      <c r="F132" s="59"/>
      <c r="G132" s="43">
        <f t="shared" si="18"/>
        <v>1015.005099903759</v>
      </c>
      <c r="H132" s="3"/>
      <c r="I132" s="3"/>
      <c r="J132" s="3"/>
      <c r="K132" s="3"/>
      <c r="L132" s="3"/>
      <c r="M132" s="89">
        <f t="shared" si="6"/>
        <v>30</v>
      </c>
      <c r="N132" s="77">
        <f t="shared" si="7"/>
        <v>12336.95708901952</v>
      </c>
      <c r="O132" s="77">
        <f t="shared" si="8"/>
        <v>24023.45708901952</v>
      </c>
      <c r="P132" s="92">
        <f t="shared" si="9"/>
        <v>1227.2566158457641</v>
      </c>
      <c r="Q132" s="82">
        <f t="shared" si="10"/>
        <v>127.0398439906229</v>
      </c>
      <c r="R132" s="83">
        <f t="shared" si="11"/>
        <v>1015.005099903759</v>
      </c>
      <c r="S132" s="3"/>
      <c r="T132" s="98">
        <f t="shared" si="12"/>
        <v>-1144.6757405739882</v>
      </c>
      <c r="U132" s="99">
        <f t="shared" si="13"/>
        <v>1690.6575927593453</v>
      </c>
    </row>
    <row r="133" spans="1:21" ht="12.75">
      <c r="A133" s="56">
        <f t="shared" si="19"/>
        <v>30.5</v>
      </c>
      <c r="B133" s="56">
        <f t="shared" si="14"/>
        <v>11979.11513212478</v>
      </c>
      <c r="C133" s="56">
        <f t="shared" si="15"/>
        <v>23326.640132124783</v>
      </c>
      <c r="D133" s="38">
        <f t="shared" si="16"/>
        <v>445.58226261867304</v>
      </c>
      <c r="E133" s="43">
        <f t="shared" si="17"/>
        <v>-672.4270673993351</v>
      </c>
      <c r="F133" s="59"/>
      <c r="G133" s="43">
        <f t="shared" si="18"/>
        <v>985.5641762961882</v>
      </c>
      <c r="H133" s="3"/>
      <c r="I133" s="3"/>
      <c r="J133" s="3"/>
      <c r="K133" s="3"/>
      <c r="L133" s="3"/>
      <c r="M133" s="89">
        <f t="shared" si="6"/>
        <v>30.5</v>
      </c>
      <c r="N133" s="77">
        <f t="shared" si="7"/>
        <v>11979.11513212478</v>
      </c>
      <c r="O133" s="77">
        <f t="shared" si="8"/>
        <v>23326.640132124783</v>
      </c>
      <c r="P133" s="92">
        <f t="shared" si="9"/>
        <v>1213.946114439408</v>
      </c>
      <c r="Q133" s="82">
        <f t="shared" si="10"/>
        <v>95.9367844213997</v>
      </c>
      <c r="R133" s="83">
        <f t="shared" si="11"/>
        <v>985.5641762961882</v>
      </c>
      <c r="S133" s="3"/>
      <c r="T133" s="98">
        <f t="shared" si="12"/>
        <v>-1144.6757405739882</v>
      </c>
      <c r="U133" s="99">
        <f t="shared" si="13"/>
        <v>1690.6575927593453</v>
      </c>
    </row>
    <row r="134" spans="1:21" ht="12.75">
      <c r="A134" s="56">
        <f t="shared" si="19"/>
        <v>31</v>
      </c>
      <c r="B134" s="56">
        <f t="shared" si="14"/>
        <v>11602.79914544714</v>
      </c>
      <c r="C134" s="56">
        <f t="shared" si="15"/>
        <v>22593.849145447144</v>
      </c>
      <c r="D134" s="38">
        <f t="shared" si="16"/>
        <v>431.5845902569032</v>
      </c>
      <c r="E134" s="43">
        <f t="shared" si="17"/>
        <v>-705.1358605549921</v>
      </c>
      <c r="F134" s="59"/>
      <c r="G134" s="43">
        <f t="shared" si="18"/>
        <v>954.6033289091868</v>
      </c>
      <c r="H134" s="3"/>
      <c r="I134" s="3"/>
      <c r="J134" s="3"/>
      <c r="K134" s="3"/>
      <c r="L134" s="3"/>
      <c r="M134" s="89">
        <f t="shared" si="6"/>
        <v>31</v>
      </c>
      <c r="N134" s="77">
        <f t="shared" si="7"/>
        <v>11602.79914544714</v>
      </c>
      <c r="O134" s="77">
        <f t="shared" si="8"/>
        <v>22593.849145447144</v>
      </c>
      <c r="P134" s="92">
        <f t="shared" si="9"/>
        <v>1199.948442077638</v>
      </c>
      <c r="Q134" s="82">
        <f t="shared" si="10"/>
        <v>63.22799126574273</v>
      </c>
      <c r="R134" s="83">
        <f t="shared" si="11"/>
        <v>954.6033289091868</v>
      </c>
      <c r="S134" s="3"/>
      <c r="T134" s="98">
        <f t="shared" si="12"/>
        <v>-1144.6757405739882</v>
      </c>
      <c r="U134" s="99">
        <f t="shared" si="13"/>
        <v>1690.6575927593453</v>
      </c>
    </row>
    <row r="135" spans="1:21" ht="12.75">
      <c r="A135" s="56">
        <f t="shared" si="19"/>
        <v>31.5</v>
      </c>
      <c r="B135" s="56">
        <f aca="true" t="shared" si="20" ref="B135:B155">0.5*$A$27*A135*($C$5-A135)</f>
        <v>11208.009128986603</v>
      </c>
      <c r="C135" s="56">
        <f aca="true" t="shared" si="21" ref="C135:C155">0.5*($E$27+$F$27)*A135*($C$5-A135)</f>
        <v>21825.084128986604</v>
      </c>
      <c r="D135" s="38">
        <f aca="true" t="shared" si="22" ref="D135:D155">1000*B135/($E$39*$C$45)</f>
        <v>416.89974693972016</v>
      </c>
      <c r="E135" s="43">
        <f aca="true" t="shared" si="23" ref="E135:E155">(1000*C135/$C$45)-($D$61+$D$65)</f>
        <v>-739.450387297083</v>
      </c>
      <c r="F135" s="59"/>
      <c r="G135" s="43">
        <f aca="true" t="shared" si="24" ref="G135:G155">4*$I$71*A135*1000*(1-A135*1000/($C$5*1000))/($C$5*1000)</f>
        <v>922.1225577427548</v>
      </c>
      <c r="H135" s="3"/>
      <c r="I135" s="3"/>
      <c r="J135" s="3"/>
      <c r="K135" s="3"/>
      <c r="L135" s="3"/>
      <c r="M135" s="89">
        <f t="shared" si="6"/>
        <v>31.5</v>
      </c>
      <c r="N135" s="77">
        <f t="shared" si="7"/>
        <v>11208.009128986603</v>
      </c>
      <c r="O135" s="77">
        <f t="shared" si="8"/>
        <v>21825.084128986604</v>
      </c>
      <c r="P135" s="92">
        <f t="shared" si="9"/>
        <v>1185.263598760455</v>
      </c>
      <c r="Q135" s="82">
        <f t="shared" si="10"/>
        <v>28.913464523651783</v>
      </c>
      <c r="R135" s="83">
        <f t="shared" si="11"/>
        <v>922.1225577427548</v>
      </c>
      <c r="S135" s="3"/>
      <c r="T135" s="98">
        <f t="shared" si="12"/>
        <v>-1144.6757405739882</v>
      </c>
      <c r="U135" s="99">
        <f t="shared" si="13"/>
        <v>1690.6575927593453</v>
      </c>
    </row>
    <row r="136" spans="1:21" ht="12.75">
      <c r="A136" s="56">
        <f t="shared" si="19"/>
        <v>32</v>
      </c>
      <c r="B136" s="56">
        <f t="shared" si="20"/>
        <v>10794.745082743166</v>
      </c>
      <c r="C136" s="56">
        <f t="shared" si="21"/>
        <v>21020.34508274317</v>
      </c>
      <c r="D136" s="38">
        <f t="shared" si="22"/>
        <v>401.5277326671237</v>
      </c>
      <c r="E136" s="43">
        <f t="shared" si="23"/>
        <v>-775.3706476256075</v>
      </c>
      <c r="F136" s="59"/>
      <c r="G136" s="43">
        <f t="shared" si="24"/>
        <v>888.1218627968921</v>
      </c>
      <c r="H136" s="3"/>
      <c r="I136" s="3"/>
      <c r="J136" s="3"/>
      <c r="K136" s="3"/>
      <c r="L136" s="3"/>
      <c r="M136" s="89">
        <f aca="true" t="shared" si="25" ref="M136:M155">A136</f>
        <v>32</v>
      </c>
      <c r="N136" s="77">
        <f aca="true" t="shared" si="26" ref="N136:N155">B136</f>
        <v>10794.745082743166</v>
      </c>
      <c r="O136" s="77">
        <f aca="true" t="shared" si="27" ref="O136:O155">C136</f>
        <v>21020.34508274317</v>
      </c>
      <c r="P136" s="92">
        <f aca="true" t="shared" si="28" ref="P136:P155">D136+$D$61</f>
        <v>1169.8915844878584</v>
      </c>
      <c r="Q136" s="82">
        <f aca="true" t="shared" si="29" ref="Q136:Q155">E136+$D$61</f>
        <v>-7.006795804872695</v>
      </c>
      <c r="R136" s="83">
        <f aca="true" t="shared" si="30" ref="R136:R155">G136</f>
        <v>888.1218627968921</v>
      </c>
      <c r="S136" s="3"/>
      <c r="T136" s="98">
        <f t="shared" si="12"/>
        <v>-1144.6757405739882</v>
      </c>
      <c r="U136" s="99">
        <f t="shared" si="13"/>
        <v>1690.6575927593453</v>
      </c>
    </row>
    <row r="137" spans="1:21" ht="12.75">
      <c r="A137" s="56">
        <f t="shared" si="19"/>
        <v>32.5</v>
      </c>
      <c r="B137" s="56">
        <f t="shared" si="20"/>
        <v>10363.00700671683</v>
      </c>
      <c r="C137" s="56">
        <f t="shared" si="21"/>
        <v>20179.632006716834</v>
      </c>
      <c r="D137" s="38">
        <f t="shared" si="22"/>
        <v>385.4685474391139</v>
      </c>
      <c r="E137" s="43">
        <f t="shared" si="23"/>
        <v>-812.8966415405662</v>
      </c>
      <c r="F137" s="59"/>
      <c r="G137" s="43">
        <f t="shared" si="24"/>
        <v>852.601244071599</v>
      </c>
      <c r="H137" s="3"/>
      <c r="I137" s="3"/>
      <c r="J137" s="3"/>
      <c r="K137" s="3"/>
      <c r="L137" s="3"/>
      <c r="M137" s="89">
        <f t="shared" si="25"/>
        <v>32.5</v>
      </c>
      <c r="N137" s="77">
        <f t="shared" si="26"/>
        <v>10363.00700671683</v>
      </c>
      <c r="O137" s="77">
        <f t="shared" si="27"/>
        <v>20179.632006716834</v>
      </c>
      <c r="P137" s="92">
        <f t="shared" si="28"/>
        <v>1153.8323992598487</v>
      </c>
      <c r="Q137" s="82">
        <f t="shared" si="29"/>
        <v>-44.532789719831385</v>
      </c>
      <c r="R137" s="83">
        <f t="shared" si="30"/>
        <v>852.601244071599</v>
      </c>
      <c r="S137" s="3"/>
      <c r="T137" s="98">
        <f aca="true" t="shared" si="31" ref="T137:T155">T136</f>
        <v>-1144.6757405739882</v>
      </c>
      <c r="U137" s="99">
        <f aca="true" t="shared" si="32" ref="U137:U155">U136</f>
        <v>1690.6575927593453</v>
      </c>
    </row>
    <row r="138" spans="1:21" ht="12.75">
      <c r="A138" s="56">
        <f t="shared" si="19"/>
        <v>33</v>
      </c>
      <c r="B138" s="56">
        <f t="shared" si="20"/>
        <v>9912.794900907598</v>
      </c>
      <c r="C138" s="56">
        <f t="shared" si="21"/>
        <v>19302.9449009076</v>
      </c>
      <c r="D138" s="38">
        <f t="shared" si="22"/>
        <v>368.72219125569075</v>
      </c>
      <c r="E138" s="43">
        <f t="shared" si="23"/>
        <v>-852.0283690419585</v>
      </c>
      <c r="F138" s="59"/>
      <c r="G138" s="43">
        <f t="shared" si="24"/>
        <v>815.5607015668749</v>
      </c>
      <c r="H138" s="3"/>
      <c r="I138" s="3"/>
      <c r="J138" s="3"/>
      <c r="K138" s="3"/>
      <c r="L138" s="3"/>
      <c r="M138" s="89">
        <f t="shared" si="25"/>
        <v>33</v>
      </c>
      <c r="N138" s="77">
        <f t="shared" si="26"/>
        <v>9912.794900907598</v>
      </c>
      <c r="O138" s="77">
        <f t="shared" si="27"/>
        <v>19302.9449009076</v>
      </c>
      <c r="P138" s="92">
        <f t="shared" si="28"/>
        <v>1137.0860430764255</v>
      </c>
      <c r="Q138" s="82">
        <f t="shared" si="29"/>
        <v>-83.66451722122372</v>
      </c>
      <c r="R138" s="83">
        <f t="shared" si="30"/>
        <v>815.5607015668749</v>
      </c>
      <c r="S138" s="3"/>
      <c r="T138" s="98">
        <f t="shared" si="31"/>
        <v>-1144.6757405739882</v>
      </c>
      <c r="U138" s="99">
        <f t="shared" si="32"/>
        <v>1690.6575927593453</v>
      </c>
    </row>
    <row r="139" spans="1:21" ht="12.75">
      <c r="A139" s="56">
        <f t="shared" si="19"/>
        <v>33.5</v>
      </c>
      <c r="B139" s="56">
        <f t="shared" si="20"/>
        <v>9444.108765315466</v>
      </c>
      <c r="C139" s="56">
        <f t="shared" si="21"/>
        <v>18390.28376531547</v>
      </c>
      <c r="D139" s="38">
        <f t="shared" si="22"/>
        <v>351.28866411685425</v>
      </c>
      <c r="E139" s="43">
        <f t="shared" si="23"/>
        <v>-892.7658301297848</v>
      </c>
      <c r="F139" s="59"/>
      <c r="G139" s="43">
        <f t="shared" si="24"/>
        <v>777.0002352827206</v>
      </c>
      <c r="H139" s="3"/>
      <c r="I139" s="3"/>
      <c r="J139" s="3"/>
      <c r="K139" s="3"/>
      <c r="L139" s="3"/>
      <c r="M139" s="89">
        <f t="shared" si="25"/>
        <v>33.5</v>
      </c>
      <c r="N139" s="77">
        <f t="shared" si="26"/>
        <v>9444.108765315466</v>
      </c>
      <c r="O139" s="77">
        <f t="shared" si="27"/>
        <v>18390.28376531547</v>
      </c>
      <c r="P139" s="92">
        <f t="shared" si="28"/>
        <v>1119.652515937589</v>
      </c>
      <c r="Q139" s="82">
        <f t="shared" si="29"/>
        <v>-124.40197830905004</v>
      </c>
      <c r="R139" s="83">
        <f t="shared" si="30"/>
        <v>777.0002352827206</v>
      </c>
      <c r="S139" s="3"/>
      <c r="T139" s="98">
        <f t="shared" si="31"/>
        <v>-1144.6757405739882</v>
      </c>
      <c r="U139" s="99">
        <f t="shared" si="32"/>
        <v>1690.6575927593453</v>
      </c>
    </row>
    <row r="140" spans="1:21" ht="12.75">
      <c r="A140" s="56">
        <f t="shared" si="19"/>
        <v>34</v>
      </c>
      <c r="B140" s="56">
        <f t="shared" si="20"/>
        <v>8956.948599940439</v>
      </c>
      <c r="C140" s="56">
        <f t="shared" si="21"/>
        <v>17441.648599940443</v>
      </c>
      <c r="D140" s="38">
        <f t="shared" si="22"/>
        <v>333.1679660226045</v>
      </c>
      <c r="E140" s="43">
        <f t="shared" si="23"/>
        <v>-935.1090248040448</v>
      </c>
      <c r="F140" s="59"/>
      <c r="G140" s="43">
        <f t="shared" si="24"/>
        <v>736.9198452191353</v>
      </c>
      <c r="H140" s="3"/>
      <c r="I140" s="3"/>
      <c r="J140" s="3"/>
      <c r="K140" s="3"/>
      <c r="L140" s="3"/>
      <c r="M140" s="89">
        <f t="shared" si="25"/>
        <v>34</v>
      </c>
      <c r="N140" s="77">
        <f t="shared" si="26"/>
        <v>8956.948599940439</v>
      </c>
      <c r="O140" s="77">
        <f t="shared" si="27"/>
        <v>17441.648599940443</v>
      </c>
      <c r="P140" s="92">
        <f t="shared" si="28"/>
        <v>1101.5318178433392</v>
      </c>
      <c r="Q140" s="82">
        <f t="shared" si="29"/>
        <v>-166.74517298331</v>
      </c>
      <c r="R140" s="83">
        <f t="shared" si="30"/>
        <v>736.9198452191353</v>
      </c>
      <c r="S140" s="3"/>
      <c r="T140" s="98">
        <f t="shared" si="31"/>
        <v>-1144.6757405739882</v>
      </c>
      <c r="U140" s="99">
        <f t="shared" si="32"/>
        <v>1690.6575927593453</v>
      </c>
    </row>
    <row r="141" spans="1:21" ht="12.75">
      <c r="A141" s="56">
        <f t="shared" si="19"/>
        <v>34.5</v>
      </c>
      <c r="B141" s="56">
        <f t="shared" si="20"/>
        <v>8451.31440478251</v>
      </c>
      <c r="C141" s="56">
        <f t="shared" si="21"/>
        <v>16457.039404782514</v>
      </c>
      <c r="D141" s="38">
        <f t="shared" si="22"/>
        <v>314.3600969729413</v>
      </c>
      <c r="E141" s="43">
        <f t="shared" si="23"/>
        <v>-979.0579530647386</v>
      </c>
      <c r="F141" s="59"/>
      <c r="G141" s="43">
        <f t="shared" si="24"/>
        <v>695.3195313761199</v>
      </c>
      <c r="H141" s="3"/>
      <c r="I141" s="3"/>
      <c r="J141" s="3"/>
      <c r="K141" s="3"/>
      <c r="L141" s="3"/>
      <c r="M141" s="89">
        <f t="shared" si="25"/>
        <v>34.5</v>
      </c>
      <c r="N141" s="77">
        <f t="shared" si="26"/>
        <v>8451.31440478251</v>
      </c>
      <c r="O141" s="77">
        <f t="shared" si="27"/>
        <v>16457.039404782514</v>
      </c>
      <c r="P141" s="92">
        <f t="shared" si="28"/>
        <v>1082.723948793676</v>
      </c>
      <c r="Q141" s="82">
        <f t="shared" si="29"/>
        <v>-210.69410124400383</v>
      </c>
      <c r="R141" s="83">
        <f t="shared" si="30"/>
        <v>695.3195313761199</v>
      </c>
      <c r="S141" s="3"/>
      <c r="T141" s="98">
        <f t="shared" si="31"/>
        <v>-1144.6757405739882</v>
      </c>
      <c r="U141" s="99">
        <f t="shared" si="32"/>
        <v>1690.6575927593453</v>
      </c>
    </row>
    <row r="142" spans="1:21" ht="12.75">
      <c r="A142" s="56">
        <f t="shared" si="19"/>
        <v>35</v>
      </c>
      <c r="B142" s="56">
        <f t="shared" si="20"/>
        <v>7927.206179841685</v>
      </c>
      <c r="C142" s="56">
        <f t="shared" si="21"/>
        <v>15436.456179841687</v>
      </c>
      <c r="D142" s="38">
        <f t="shared" si="22"/>
        <v>294.86505696786486</v>
      </c>
      <c r="E142" s="43">
        <f t="shared" si="23"/>
        <v>-1024.6126149118663</v>
      </c>
      <c r="F142" s="59"/>
      <c r="G142" s="43">
        <f t="shared" si="24"/>
        <v>652.1992937536733</v>
      </c>
      <c r="H142" s="3"/>
      <c r="I142" s="3"/>
      <c r="J142" s="3"/>
      <c r="K142" s="3"/>
      <c r="L142" s="3"/>
      <c r="M142" s="89">
        <f t="shared" si="25"/>
        <v>35</v>
      </c>
      <c r="N142" s="77">
        <f t="shared" si="26"/>
        <v>7927.206179841685</v>
      </c>
      <c r="O142" s="77">
        <f t="shared" si="27"/>
        <v>15436.456179841687</v>
      </c>
      <c r="P142" s="92">
        <f t="shared" si="28"/>
        <v>1063.2289087885997</v>
      </c>
      <c r="Q142" s="82">
        <f t="shared" si="29"/>
        <v>-256.24876309113154</v>
      </c>
      <c r="R142" s="83">
        <f t="shared" si="30"/>
        <v>652.1992937536733</v>
      </c>
      <c r="S142" s="3"/>
      <c r="T142" s="98">
        <f t="shared" si="31"/>
        <v>-1144.6757405739882</v>
      </c>
      <c r="U142" s="99">
        <f t="shared" si="32"/>
        <v>1690.6575927593453</v>
      </c>
    </row>
    <row r="143" spans="1:21" ht="12.75">
      <c r="A143" s="56">
        <f t="shared" si="19"/>
        <v>35.5</v>
      </c>
      <c r="B143" s="56">
        <f t="shared" si="20"/>
        <v>7384.6239251179595</v>
      </c>
      <c r="C143" s="56">
        <f t="shared" si="21"/>
        <v>14379.898925117963</v>
      </c>
      <c r="D143" s="38">
        <f t="shared" si="22"/>
        <v>274.682846007375</v>
      </c>
      <c r="E143" s="43">
        <f t="shared" si="23"/>
        <v>-1071.7730103454278</v>
      </c>
      <c r="F143" s="59"/>
      <c r="G143" s="43">
        <f t="shared" si="24"/>
        <v>607.5591323517966</v>
      </c>
      <c r="H143" s="3"/>
      <c r="I143" s="3"/>
      <c r="J143" s="3"/>
      <c r="K143" s="3"/>
      <c r="L143" s="3"/>
      <c r="M143" s="89">
        <f t="shared" si="25"/>
        <v>35.5</v>
      </c>
      <c r="N143" s="77">
        <f t="shared" si="26"/>
        <v>7384.6239251179595</v>
      </c>
      <c r="O143" s="77">
        <f t="shared" si="27"/>
        <v>14379.898925117963</v>
      </c>
      <c r="P143" s="92">
        <f t="shared" si="28"/>
        <v>1043.0466978281097</v>
      </c>
      <c r="Q143" s="82">
        <f t="shared" si="29"/>
        <v>-303.409158524693</v>
      </c>
      <c r="R143" s="83">
        <f t="shared" si="30"/>
        <v>607.5591323517966</v>
      </c>
      <c r="S143" s="3"/>
      <c r="T143" s="98">
        <f t="shared" si="31"/>
        <v>-1144.6757405739882</v>
      </c>
      <c r="U143" s="99">
        <f t="shared" si="32"/>
        <v>1690.6575927593453</v>
      </c>
    </row>
    <row r="144" spans="1:21" ht="12.75">
      <c r="A144" s="56">
        <f t="shared" si="19"/>
        <v>36</v>
      </c>
      <c r="B144" s="56">
        <f t="shared" si="20"/>
        <v>6823.567640611338</v>
      </c>
      <c r="C144" s="56">
        <f t="shared" si="21"/>
        <v>13287.36764061134</v>
      </c>
      <c r="D144" s="38">
        <f t="shared" si="22"/>
        <v>253.8134640914719</v>
      </c>
      <c r="E144" s="43">
        <f t="shared" si="23"/>
        <v>-1120.5391393654231</v>
      </c>
      <c r="F144" s="59"/>
      <c r="G144" s="43">
        <f t="shared" si="24"/>
        <v>561.3990471704889</v>
      </c>
      <c r="H144" s="3"/>
      <c r="I144" s="3"/>
      <c r="J144" s="3"/>
      <c r="K144" s="3"/>
      <c r="L144" s="3"/>
      <c r="M144" s="89">
        <f t="shared" si="25"/>
        <v>36</v>
      </c>
      <c r="N144" s="77">
        <f t="shared" si="26"/>
        <v>6823.567640611338</v>
      </c>
      <c r="O144" s="77">
        <f t="shared" si="27"/>
        <v>13287.36764061134</v>
      </c>
      <c r="P144" s="92">
        <f t="shared" si="28"/>
        <v>1022.1773159122067</v>
      </c>
      <c r="Q144" s="82">
        <f t="shared" si="29"/>
        <v>-352.17528754468833</v>
      </c>
      <c r="R144" s="83">
        <f t="shared" si="30"/>
        <v>561.3990471704889</v>
      </c>
      <c r="S144" s="3"/>
      <c r="T144" s="98">
        <f t="shared" si="31"/>
        <v>-1144.6757405739882</v>
      </c>
      <c r="U144" s="99">
        <f t="shared" si="32"/>
        <v>1690.6575927593453</v>
      </c>
    </row>
    <row r="145" spans="1:21" ht="12.75">
      <c r="A145" s="56">
        <f t="shared" si="19"/>
        <v>36.5</v>
      </c>
      <c r="B145" s="56">
        <f t="shared" si="20"/>
        <v>6244.037326321816</v>
      </c>
      <c r="C145" s="56">
        <f t="shared" si="21"/>
        <v>12158.86232632182</v>
      </c>
      <c r="D145" s="38">
        <f t="shared" si="22"/>
        <v>232.25691122015533</v>
      </c>
      <c r="E145" s="43">
        <f t="shared" si="23"/>
        <v>-1170.9110019718523</v>
      </c>
      <c r="F145" s="59"/>
      <c r="G145" s="43">
        <f t="shared" si="24"/>
        <v>513.7190382097506</v>
      </c>
      <c r="H145" s="3"/>
      <c r="I145" s="3"/>
      <c r="J145" s="3"/>
      <c r="K145" s="3"/>
      <c r="L145" s="3"/>
      <c r="M145" s="89">
        <f t="shared" si="25"/>
        <v>36.5</v>
      </c>
      <c r="N145" s="77">
        <f t="shared" si="26"/>
        <v>6244.037326321816</v>
      </c>
      <c r="O145" s="77">
        <f t="shared" si="27"/>
        <v>12158.86232632182</v>
      </c>
      <c r="P145" s="92">
        <f t="shared" si="28"/>
        <v>1000.6207630408901</v>
      </c>
      <c r="Q145" s="82">
        <f t="shared" si="29"/>
        <v>-402.54715015111753</v>
      </c>
      <c r="R145" s="83">
        <f t="shared" si="30"/>
        <v>513.7190382097506</v>
      </c>
      <c r="S145" s="3"/>
      <c r="T145" s="98">
        <f t="shared" si="31"/>
        <v>-1144.6757405739882</v>
      </c>
      <c r="U145" s="99">
        <f t="shared" si="32"/>
        <v>1690.6575927593453</v>
      </c>
    </row>
    <row r="146" spans="1:21" ht="12.75">
      <c r="A146" s="56">
        <f t="shared" si="19"/>
        <v>37</v>
      </c>
      <c r="B146" s="56">
        <f t="shared" si="20"/>
        <v>5646.032982249397</v>
      </c>
      <c r="C146" s="56">
        <f t="shared" si="21"/>
        <v>10994.382982249399</v>
      </c>
      <c r="D146" s="38">
        <f t="shared" si="22"/>
        <v>210.01318739342548</v>
      </c>
      <c r="E146" s="43">
        <f t="shared" si="23"/>
        <v>-1222.8885981647154</v>
      </c>
      <c r="F146" s="59"/>
      <c r="G146" s="43">
        <f t="shared" si="24"/>
        <v>464.5191054695821</v>
      </c>
      <c r="H146" s="3"/>
      <c r="I146" s="3"/>
      <c r="J146" s="3"/>
      <c r="K146" s="3"/>
      <c r="L146" s="3"/>
      <c r="M146" s="89">
        <f t="shared" si="25"/>
        <v>37</v>
      </c>
      <c r="N146" s="77">
        <f t="shared" si="26"/>
        <v>5646.032982249397</v>
      </c>
      <c r="O146" s="77">
        <f t="shared" si="27"/>
        <v>10994.382982249399</v>
      </c>
      <c r="P146" s="92">
        <f t="shared" si="28"/>
        <v>978.3770392141603</v>
      </c>
      <c r="Q146" s="82">
        <f t="shared" si="29"/>
        <v>-454.5247463439806</v>
      </c>
      <c r="R146" s="83">
        <f t="shared" si="30"/>
        <v>464.5191054695821</v>
      </c>
      <c r="S146" s="3"/>
      <c r="T146" s="98">
        <f t="shared" si="31"/>
        <v>-1144.6757405739882</v>
      </c>
      <c r="U146" s="99">
        <f t="shared" si="32"/>
        <v>1690.6575927593453</v>
      </c>
    </row>
    <row r="147" spans="1:21" ht="12.75">
      <c r="A147" s="56">
        <f t="shared" si="19"/>
        <v>37.5</v>
      </c>
      <c r="B147" s="56">
        <f t="shared" si="20"/>
        <v>5029.554608394079</v>
      </c>
      <c r="C147" s="56">
        <f t="shared" si="21"/>
        <v>9793.929608394083</v>
      </c>
      <c r="D147" s="38">
        <f t="shared" si="22"/>
        <v>187.0822926112823</v>
      </c>
      <c r="E147" s="43">
        <f t="shared" si="23"/>
        <v>-1276.4719279440121</v>
      </c>
      <c r="F147" s="59"/>
      <c r="G147" s="43">
        <f t="shared" si="24"/>
        <v>413.7992489499825</v>
      </c>
      <c r="H147" s="3"/>
      <c r="I147" s="3"/>
      <c r="J147" s="3"/>
      <c r="K147" s="3"/>
      <c r="L147" s="3"/>
      <c r="M147" s="89">
        <f t="shared" si="25"/>
        <v>37.5</v>
      </c>
      <c r="N147" s="77">
        <f t="shared" si="26"/>
        <v>5029.554608394079</v>
      </c>
      <c r="O147" s="77">
        <f t="shared" si="27"/>
        <v>9793.929608394083</v>
      </c>
      <c r="P147" s="92">
        <f t="shared" si="28"/>
        <v>955.446144432017</v>
      </c>
      <c r="Q147" s="82">
        <f t="shared" si="29"/>
        <v>-508.1080761232773</v>
      </c>
      <c r="R147" s="83">
        <f t="shared" si="30"/>
        <v>413.7992489499825</v>
      </c>
      <c r="S147" s="3"/>
      <c r="T147" s="98">
        <f t="shared" si="31"/>
        <v>-1144.6757405739882</v>
      </c>
      <c r="U147" s="99">
        <f t="shared" si="32"/>
        <v>1690.6575927593453</v>
      </c>
    </row>
    <row r="148" spans="1:21" ht="12.75">
      <c r="A148" s="56">
        <f t="shared" si="19"/>
        <v>38</v>
      </c>
      <c r="B148" s="56">
        <f t="shared" si="20"/>
        <v>4394.602204755863</v>
      </c>
      <c r="C148" s="56">
        <f t="shared" si="21"/>
        <v>8557.502204755867</v>
      </c>
      <c r="D148" s="38">
        <f t="shared" si="22"/>
        <v>163.46422687372575</v>
      </c>
      <c r="E148" s="43">
        <f t="shared" si="23"/>
        <v>-1331.6609913097427</v>
      </c>
      <c r="F148" s="59"/>
      <c r="G148" s="43">
        <f t="shared" si="24"/>
        <v>361.55946865095285</v>
      </c>
      <c r="H148" s="3"/>
      <c r="I148" s="3"/>
      <c r="J148" s="3"/>
      <c r="K148" s="3"/>
      <c r="L148" s="3"/>
      <c r="M148" s="89">
        <f t="shared" si="25"/>
        <v>38</v>
      </c>
      <c r="N148" s="77">
        <f t="shared" si="26"/>
        <v>4394.602204755863</v>
      </c>
      <c r="O148" s="77">
        <f t="shared" si="27"/>
        <v>8557.502204755867</v>
      </c>
      <c r="P148" s="92">
        <f t="shared" si="28"/>
        <v>931.8280786944606</v>
      </c>
      <c r="Q148" s="82">
        <f t="shared" si="29"/>
        <v>-563.2971394890079</v>
      </c>
      <c r="R148" s="83">
        <f t="shared" si="30"/>
        <v>361.55946865095285</v>
      </c>
      <c r="S148" s="3"/>
      <c r="T148" s="98">
        <f t="shared" si="31"/>
        <v>-1144.6757405739882</v>
      </c>
      <c r="U148" s="99">
        <f t="shared" si="32"/>
        <v>1690.6575927593453</v>
      </c>
    </row>
    <row r="149" spans="1:21" ht="12.75">
      <c r="A149" s="56">
        <f t="shared" si="19"/>
        <v>38.5</v>
      </c>
      <c r="B149" s="56">
        <f t="shared" si="20"/>
        <v>3741.1757713347483</v>
      </c>
      <c r="C149" s="56">
        <f t="shared" si="21"/>
        <v>7285.100771334753</v>
      </c>
      <c r="D149" s="38">
        <f t="shared" si="22"/>
        <v>139.1589901807559</v>
      </c>
      <c r="E149" s="43">
        <f t="shared" si="23"/>
        <v>-1388.4557882619072</v>
      </c>
      <c r="F149" s="59"/>
      <c r="G149" s="43">
        <f t="shared" si="24"/>
        <v>307.79976457249205</v>
      </c>
      <c r="H149" s="3"/>
      <c r="I149" s="3"/>
      <c r="J149" s="3"/>
      <c r="K149" s="3"/>
      <c r="L149" s="3"/>
      <c r="M149" s="89">
        <f t="shared" si="25"/>
        <v>38.5</v>
      </c>
      <c r="N149" s="77">
        <f t="shared" si="26"/>
        <v>3741.1757713347483</v>
      </c>
      <c r="O149" s="77">
        <f t="shared" si="27"/>
        <v>7285.100771334753</v>
      </c>
      <c r="P149" s="92">
        <f t="shared" si="28"/>
        <v>907.5228420014907</v>
      </c>
      <c r="Q149" s="82">
        <f t="shared" si="29"/>
        <v>-620.0919364411724</v>
      </c>
      <c r="R149" s="83">
        <f t="shared" si="30"/>
        <v>307.79976457249205</v>
      </c>
      <c r="S149" s="3"/>
      <c r="T149" s="98">
        <f t="shared" si="31"/>
        <v>-1144.6757405739882</v>
      </c>
      <c r="U149" s="99">
        <f t="shared" si="32"/>
        <v>1690.6575927593453</v>
      </c>
    </row>
    <row r="150" spans="1:21" ht="12.75">
      <c r="A150" s="56">
        <f t="shared" si="19"/>
        <v>39</v>
      </c>
      <c r="B150" s="56">
        <f t="shared" si="20"/>
        <v>3069.2753081307355</v>
      </c>
      <c r="C150" s="56">
        <f t="shared" si="21"/>
        <v>5976.725308130739</v>
      </c>
      <c r="D150" s="38">
        <f t="shared" si="22"/>
        <v>114.16658253237267</v>
      </c>
      <c r="E150" s="43">
        <f t="shared" si="23"/>
        <v>-1446.8563188005055</v>
      </c>
      <c r="F150" s="59"/>
      <c r="G150" s="43">
        <f t="shared" si="24"/>
        <v>252.5201367146012</v>
      </c>
      <c r="H150" s="3"/>
      <c r="I150" s="3"/>
      <c r="J150" s="3"/>
      <c r="K150" s="3"/>
      <c r="L150" s="3"/>
      <c r="M150" s="89">
        <f t="shared" si="25"/>
        <v>39</v>
      </c>
      <c r="N150" s="77">
        <f t="shared" si="26"/>
        <v>3069.2753081307355</v>
      </c>
      <c r="O150" s="77">
        <f t="shared" si="27"/>
        <v>5976.725308130739</v>
      </c>
      <c r="P150" s="92">
        <f t="shared" si="28"/>
        <v>882.5304343531075</v>
      </c>
      <c r="Q150" s="82">
        <f t="shared" si="29"/>
        <v>-678.4924669797707</v>
      </c>
      <c r="R150" s="83">
        <f t="shared" si="30"/>
        <v>252.5201367146012</v>
      </c>
      <c r="S150" s="3"/>
      <c r="T150" s="98">
        <f t="shared" si="31"/>
        <v>-1144.6757405739882</v>
      </c>
      <c r="U150" s="99">
        <f t="shared" si="32"/>
        <v>1690.6575927593453</v>
      </c>
    </row>
    <row r="151" spans="1:21" ht="12.75">
      <c r="A151" s="56">
        <f t="shared" si="19"/>
        <v>39.5</v>
      </c>
      <c r="B151" s="56">
        <f t="shared" si="20"/>
        <v>2378.9008151438243</v>
      </c>
      <c r="C151" s="56">
        <f t="shared" si="21"/>
        <v>4632.375815143828</v>
      </c>
      <c r="D151" s="38">
        <f t="shared" si="22"/>
        <v>88.4870039285761</v>
      </c>
      <c r="E151" s="43">
        <f t="shared" si="23"/>
        <v>-1506.8625829255375</v>
      </c>
      <c r="F151" s="59"/>
      <c r="G151" s="43">
        <f t="shared" si="24"/>
        <v>195.72058507727914</v>
      </c>
      <c r="H151" s="3"/>
      <c r="I151" s="3"/>
      <c r="J151" s="3"/>
      <c r="K151" s="3"/>
      <c r="L151" s="3"/>
      <c r="M151" s="89">
        <f t="shared" si="25"/>
        <v>39.5</v>
      </c>
      <c r="N151" s="77">
        <f t="shared" si="26"/>
        <v>2378.9008151438243</v>
      </c>
      <c r="O151" s="77">
        <f t="shared" si="27"/>
        <v>4632.375815143828</v>
      </c>
      <c r="P151" s="92">
        <f t="shared" si="28"/>
        <v>856.8508557493109</v>
      </c>
      <c r="Q151" s="82">
        <f t="shared" si="29"/>
        <v>-738.4987311048027</v>
      </c>
      <c r="R151" s="83">
        <f t="shared" si="30"/>
        <v>195.72058507727914</v>
      </c>
      <c r="S151" s="3"/>
      <c r="T151" s="98">
        <f t="shared" si="31"/>
        <v>-1144.6757405739882</v>
      </c>
      <c r="U151" s="99">
        <f t="shared" si="32"/>
        <v>1690.6575927593453</v>
      </c>
    </row>
    <row r="152" spans="1:21" ht="12.75">
      <c r="A152" s="56">
        <f t="shared" si="19"/>
        <v>40</v>
      </c>
      <c r="B152" s="56">
        <f t="shared" si="20"/>
        <v>1670.0522923740145</v>
      </c>
      <c r="C152" s="56">
        <f t="shared" si="21"/>
        <v>3252.052292374018</v>
      </c>
      <c r="D152" s="38">
        <f t="shared" si="22"/>
        <v>62.120254369366194</v>
      </c>
      <c r="E152" s="43">
        <f t="shared" si="23"/>
        <v>-1568.4745806370036</v>
      </c>
      <c r="F152" s="59"/>
      <c r="G152" s="43">
        <f t="shared" si="24"/>
        <v>137.40110966052706</v>
      </c>
      <c r="H152" s="3"/>
      <c r="I152" s="3"/>
      <c r="J152" s="3"/>
      <c r="K152" s="3"/>
      <c r="L152" s="3"/>
      <c r="M152" s="89">
        <f t="shared" si="25"/>
        <v>40</v>
      </c>
      <c r="N152" s="77">
        <f t="shared" si="26"/>
        <v>1670.0522923740145</v>
      </c>
      <c r="O152" s="77">
        <f t="shared" si="27"/>
        <v>3252.052292374018</v>
      </c>
      <c r="P152" s="92">
        <f t="shared" si="28"/>
        <v>830.484106190101</v>
      </c>
      <c r="Q152" s="82">
        <f t="shared" si="29"/>
        <v>-800.1107288162688</v>
      </c>
      <c r="R152" s="83">
        <f t="shared" si="30"/>
        <v>137.40110966052706</v>
      </c>
      <c r="S152" s="3"/>
      <c r="T152" s="98">
        <f t="shared" si="31"/>
        <v>-1144.6757405739882</v>
      </c>
      <c r="U152" s="99">
        <f t="shared" si="32"/>
        <v>1690.6575927593453</v>
      </c>
    </row>
    <row r="153" spans="1:21" ht="12.75">
      <c r="A153" s="56">
        <f t="shared" si="19"/>
        <v>40.5</v>
      </c>
      <c r="B153" s="56">
        <f t="shared" si="20"/>
        <v>942.7297398213066</v>
      </c>
      <c r="C153" s="56">
        <f t="shared" si="21"/>
        <v>1835.75473982131</v>
      </c>
      <c r="D153" s="38">
        <f t="shared" si="22"/>
        <v>35.06633385474295</v>
      </c>
      <c r="E153" s="43">
        <f t="shared" si="23"/>
        <v>-1631.6923119349033</v>
      </c>
      <c r="F153" s="59"/>
      <c r="G153" s="43">
        <f t="shared" si="24"/>
        <v>77.56171046434382</v>
      </c>
      <c r="H153" s="3"/>
      <c r="I153" s="3"/>
      <c r="J153" s="3"/>
      <c r="K153" s="3"/>
      <c r="L153" s="3"/>
      <c r="M153" s="89">
        <f t="shared" si="25"/>
        <v>40.5</v>
      </c>
      <c r="N153" s="77">
        <f t="shared" si="26"/>
        <v>942.7297398213066</v>
      </c>
      <c r="O153" s="77">
        <f t="shared" si="27"/>
        <v>1835.75473982131</v>
      </c>
      <c r="P153" s="92">
        <f t="shared" si="28"/>
        <v>803.4301856754778</v>
      </c>
      <c r="Q153" s="82">
        <f t="shared" si="29"/>
        <v>-863.3284601141685</v>
      </c>
      <c r="R153" s="83">
        <f t="shared" si="30"/>
        <v>77.56171046434382</v>
      </c>
      <c r="S153" s="3"/>
      <c r="T153" s="98">
        <f t="shared" si="31"/>
        <v>-1144.6757405739882</v>
      </c>
      <c r="U153" s="99">
        <f t="shared" si="32"/>
        <v>1690.6575927593453</v>
      </c>
    </row>
    <row r="154" spans="1:21" ht="12.75">
      <c r="A154" s="56">
        <f t="shared" si="19"/>
        <v>41</v>
      </c>
      <c r="B154" s="56">
        <f t="shared" si="20"/>
        <v>196.93315748570026</v>
      </c>
      <c r="C154" s="56">
        <f t="shared" si="21"/>
        <v>383.48315748570394</v>
      </c>
      <c r="D154" s="38">
        <f t="shared" si="22"/>
        <v>7.325242384706362</v>
      </c>
      <c r="E154" s="43">
        <f t="shared" si="23"/>
        <v>-1696.5157768192369</v>
      </c>
      <c r="F154" s="59"/>
      <c r="G154" s="43">
        <f t="shared" si="24"/>
        <v>16.20238748873053</v>
      </c>
      <c r="H154" s="3"/>
      <c r="I154" s="3"/>
      <c r="J154" s="3"/>
      <c r="K154" s="3"/>
      <c r="L154" s="3"/>
      <c r="M154" s="89">
        <f t="shared" si="25"/>
        <v>41</v>
      </c>
      <c r="N154" s="77">
        <f t="shared" si="26"/>
        <v>196.93315748570026</v>
      </c>
      <c r="O154" s="77">
        <f t="shared" si="27"/>
        <v>383.48315748570394</v>
      </c>
      <c r="P154" s="92">
        <f t="shared" si="28"/>
        <v>775.6890942054412</v>
      </c>
      <c r="Q154" s="82">
        <f t="shared" si="29"/>
        <v>-928.1519249985021</v>
      </c>
      <c r="R154" s="83">
        <f t="shared" si="30"/>
        <v>16.20238748873053</v>
      </c>
      <c r="S154" s="3"/>
      <c r="T154" s="98">
        <f t="shared" si="31"/>
        <v>-1144.6757405739882</v>
      </c>
      <c r="U154" s="99">
        <f t="shared" si="32"/>
        <v>1690.6575927593453</v>
      </c>
    </row>
    <row r="155" spans="1:21" ht="12.75">
      <c r="A155" s="57">
        <f>A154+0.13</f>
        <v>41.13</v>
      </c>
      <c r="B155" s="57">
        <f t="shared" si="20"/>
        <v>0</v>
      </c>
      <c r="C155" s="57">
        <f t="shared" si="21"/>
        <v>0</v>
      </c>
      <c r="D155" s="67">
        <f t="shared" si="22"/>
        <v>0</v>
      </c>
      <c r="E155" s="58">
        <f t="shared" si="23"/>
        <v>-1713.6328968506218</v>
      </c>
      <c r="F155" s="59"/>
      <c r="G155" s="58">
        <f t="shared" si="24"/>
        <v>0</v>
      </c>
      <c r="H155" s="3"/>
      <c r="I155" s="3"/>
      <c r="J155" s="3"/>
      <c r="K155" s="3"/>
      <c r="L155" s="3"/>
      <c r="M155" s="90">
        <f t="shared" si="25"/>
        <v>41.13</v>
      </c>
      <c r="N155" s="79">
        <f t="shared" si="26"/>
        <v>0</v>
      </c>
      <c r="O155" s="79">
        <f t="shared" si="27"/>
        <v>0</v>
      </c>
      <c r="P155" s="94">
        <f t="shared" si="28"/>
        <v>768.3638518207348</v>
      </c>
      <c r="Q155" s="86">
        <f t="shared" si="29"/>
        <v>-945.269045029887</v>
      </c>
      <c r="R155" s="87">
        <f t="shared" si="30"/>
        <v>0</v>
      </c>
      <c r="S155" s="3"/>
      <c r="T155" s="100">
        <f t="shared" si="31"/>
        <v>-1144.6757405739882</v>
      </c>
      <c r="U155" s="101">
        <f t="shared" si="32"/>
        <v>1690.6575927593453</v>
      </c>
    </row>
    <row r="156" spans="1:12" ht="12.75">
      <c r="A156" s="49"/>
      <c r="B156" s="49"/>
      <c r="C156" s="49"/>
      <c r="D156" s="26"/>
      <c r="E156" s="26"/>
      <c r="F156" s="3"/>
      <c r="G156" s="3"/>
      <c r="H156" s="3"/>
      <c r="I156" s="3"/>
      <c r="J156" s="3"/>
      <c r="K156" s="3"/>
      <c r="L156" s="3"/>
    </row>
    <row r="157" spans="1:12" ht="12.75">
      <c r="A157" s="3" t="s">
        <v>102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5" t="s">
        <v>103</v>
      </c>
      <c r="B159" s="5" t="s">
        <v>104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" t="s">
        <v>105</v>
      </c>
      <c r="B160" s="6" t="s">
        <v>105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12">
        <f>-8*$I$71*0.001*$E$39*$C$45/($C$5^2)</f>
        <v>-163.4476367066273</v>
      </c>
      <c r="B161" s="12">
        <f>-8*$I$71*0.001*$C$45/($C$5^2)</f>
        <v>-136.2063639221894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 t="s">
        <v>106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 t="s">
        <v>107</v>
      </c>
      <c r="B165" s="3" t="s">
        <v>108</v>
      </c>
      <c r="C165" s="3"/>
      <c r="D165" s="3" t="s">
        <v>107</v>
      </c>
      <c r="E165" s="3" t="s">
        <v>108</v>
      </c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4.25">
      <c r="A167" s="5" t="s">
        <v>109</v>
      </c>
      <c r="B167" s="5" t="s">
        <v>110</v>
      </c>
      <c r="C167" s="3"/>
      <c r="D167" s="21" t="s">
        <v>111</v>
      </c>
      <c r="E167" s="21" t="s">
        <v>112</v>
      </c>
      <c r="F167" s="3"/>
      <c r="G167" s="3"/>
      <c r="H167" s="3"/>
      <c r="I167" s="3"/>
      <c r="J167" s="3"/>
      <c r="K167" s="3"/>
      <c r="L167" s="3"/>
    </row>
    <row r="168" spans="1:12" ht="12.75">
      <c r="A168" s="6" t="s">
        <v>105</v>
      </c>
      <c r="B168" s="6" t="s">
        <v>105</v>
      </c>
      <c r="C168" s="3"/>
      <c r="D168" s="6" t="s">
        <v>9</v>
      </c>
      <c r="E168" s="6" t="s">
        <v>9</v>
      </c>
      <c r="F168" s="3"/>
      <c r="G168" s="3"/>
      <c r="H168" s="3"/>
      <c r="I168" s="3"/>
      <c r="J168" s="3"/>
      <c r="K168" s="3"/>
      <c r="L168" s="3"/>
    </row>
    <row r="169" spans="1:12" ht="12.75">
      <c r="A169" s="12">
        <f>$A$27-(ABS($A$161))</f>
        <v>-89.5515175750339</v>
      </c>
      <c r="B169" s="12">
        <f>$E$27+$F$27-(ABS($B$161))</f>
        <v>7.689755209403984</v>
      </c>
      <c r="C169" s="3"/>
      <c r="D169" s="7">
        <f>5*A169*(($C$5*1000)^4)/(384*$H$33*$F$13)</f>
        <v>-28.554378948148187</v>
      </c>
      <c r="E169" s="7">
        <f>5*B169*(($C$5*1000)^4)/(384*$H$33*$F$13)</f>
        <v>2.451953805069113</v>
      </c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 t="s">
        <v>119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5" t="s">
        <v>61</v>
      </c>
      <c r="B173" s="5" t="s">
        <v>19</v>
      </c>
      <c r="C173" s="5" t="s">
        <v>113</v>
      </c>
      <c r="D173" s="5" t="s">
        <v>114</v>
      </c>
      <c r="E173" s="5" t="s">
        <v>86</v>
      </c>
      <c r="F173" s="3"/>
      <c r="G173" s="3"/>
      <c r="H173" s="3"/>
      <c r="I173" s="3"/>
      <c r="J173" s="3"/>
      <c r="K173" s="3"/>
      <c r="L173" s="3"/>
    </row>
    <row r="174" spans="1:12" ht="12.75">
      <c r="A174" s="6" t="s">
        <v>62</v>
      </c>
      <c r="B174" s="6" t="s">
        <v>62</v>
      </c>
      <c r="C174" s="6" t="s">
        <v>115</v>
      </c>
      <c r="D174" s="6" t="s">
        <v>15</v>
      </c>
      <c r="E174" s="6" t="s">
        <v>24</v>
      </c>
      <c r="F174" s="3"/>
      <c r="G174" s="3"/>
      <c r="H174" s="3"/>
      <c r="I174" s="3"/>
      <c r="J174" s="3"/>
      <c r="K174" s="3"/>
      <c r="L174" s="3"/>
    </row>
    <row r="175" spans="1:12" ht="12.75">
      <c r="A175" s="12">
        <f>G196</f>
        <v>17828.77635</v>
      </c>
      <c r="B175" s="12">
        <f>$B$169*0.5*$C$5*(0.5*$C$5-A180)/(0.5*$C$5)</f>
        <v>158.13981588139293</v>
      </c>
      <c r="C175" s="34">
        <f>$A$9*$E$9*($C$9-$A$21-0.5*$E$9)+$D$9*($C$9-$A$21-$E$9)*0.5*($C$9-$A$21-$E$9)</f>
        <v>1402665824.6409435</v>
      </c>
      <c r="D175" s="8">
        <f>$D$13</f>
        <v>2694906.666666667</v>
      </c>
      <c r="E175" s="8">
        <f>$F$13</f>
        <v>3350285704694.656</v>
      </c>
      <c r="F175" s="73" t="s">
        <v>161</v>
      </c>
      <c r="G175" s="3"/>
      <c r="H175" s="3"/>
      <c r="I175" s="3"/>
      <c r="J175" s="3"/>
      <c r="K175" s="3"/>
      <c r="L175" s="3"/>
    </row>
    <row r="176" spans="1:12" ht="12.75">
      <c r="A176" s="12">
        <f>H196</f>
        <v>22403.4859125</v>
      </c>
      <c r="B176" s="12">
        <f>$B$169*0.5*$C$5*(0.5*$C$5-A181)/(0.5*$C$5)</f>
        <v>158.13981588139293</v>
      </c>
      <c r="C176" s="34">
        <f>$A$9*$E$9*($C$9-$A$21-0.5*$E$9)+$D$9*($C$9-$A$21-$E$9)*0.5*($C$9-$A$21-$E$9)</f>
        <v>1402665824.6409435</v>
      </c>
      <c r="D176" s="8">
        <f>$D$13</f>
        <v>2694906.666666667</v>
      </c>
      <c r="E176" s="8">
        <f>$F$13</f>
        <v>3350285704694.656</v>
      </c>
      <c r="F176" s="73" t="s">
        <v>162</v>
      </c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4.25">
      <c r="A178" s="5" t="s">
        <v>96</v>
      </c>
      <c r="B178" s="21" t="s">
        <v>120</v>
      </c>
      <c r="C178" s="21" t="s">
        <v>121</v>
      </c>
      <c r="D178" s="21" t="s">
        <v>116</v>
      </c>
      <c r="E178" s="5" t="s">
        <v>168</v>
      </c>
      <c r="F178" s="3"/>
      <c r="G178" s="3"/>
      <c r="H178" s="3"/>
      <c r="I178" s="3"/>
      <c r="J178" s="3"/>
      <c r="K178" s="3"/>
      <c r="L178" s="3"/>
    </row>
    <row r="179" spans="1:12" ht="12.75">
      <c r="A179" s="15" t="s">
        <v>11</v>
      </c>
      <c r="B179" s="6" t="s">
        <v>118</v>
      </c>
      <c r="C179" s="6" t="s">
        <v>118</v>
      </c>
      <c r="D179" s="6" t="s">
        <v>118</v>
      </c>
      <c r="E179" s="6" t="s">
        <v>118</v>
      </c>
      <c r="F179" s="3"/>
      <c r="G179" s="3"/>
      <c r="H179" s="3"/>
      <c r="I179" s="3"/>
      <c r="J179" s="3"/>
      <c r="K179" s="3"/>
      <c r="L179" s="3"/>
    </row>
    <row r="180" spans="1:12" ht="12.75">
      <c r="A180" s="12">
        <v>0</v>
      </c>
      <c r="B180" s="12">
        <f>(B175*1000*C175)/(E175*$D$9)</f>
        <v>0.20690149177148442</v>
      </c>
      <c r="C180" s="12">
        <f>1000*A175/D175</f>
        <v>6.615730544780772</v>
      </c>
      <c r="D180" s="13">
        <f>-$C180+0.5*SQRT($C180^2+4*$B180^2)</f>
        <v>-3.301400916095117</v>
      </c>
      <c r="E180" s="13">
        <f>ABS(-$C180-0.5*SQRT($C180^2+4*$B180^2))</f>
        <v>9.930060173466426</v>
      </c>
      <c r="F180" s="73" t="s">
        <v>161</v>
      </c>
      <c r="G180" s="3"/>
      <c r="H180" s="3"/>
      <c r="I180" s="3"/>
      <c r="J180" s="3"/>
      <c r="K180" s="3"/>
      <c r="L180" s="3"/>
    </row>
    <row r="181" spans="1:12" ht="12.75">
      <c r="A181" s="12">
        <v>0</v>
      </c>
      <c r="B181" s="12">
        <f>(B176*1000*C176)/(E176*$D$9)</f>
        <v>0.20690149177148442</v>
      </c>
      <c r="C181" s="12">
        <f>1000*A176/D176</f>
        <v>8.313269691158135</v>
      </c>
      <c r="D181" s="13">
        <f>-$C181+0.5*SQRT($C181^2+4*$B181^2)</f>
        <v>-4.151488646127128</v>
      </c>
      <c r="E181" s="13">
        <f>ABS(-$C181-0.5*SQRT($C181^2+4*$B181^2))</f>
        <v>12.475050736189143</v>
      </c>
      <c r="F181" s="73" t="s">
        <v>162</v>
      </c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62" t="s">
        <v>122</v>
      </c>
      <c r="E182" s="62" t="s">
        <v>123</v>
      </c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 t="s">
        <v>124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 t="s">
        <v>141</v>
      </c>
      <c r="B186" s="3"/>
      <c r="C186" s="3"/>
      <c r="D186" s="64" t="s">
        <v>127</v>
      </c>
      <c r="E186" s="65" t="s">
        <v>139</v>
      </c>
      <c r="F186" s="3"/>
      <c r="G186" s="3"/>
      <c r="H186" s="3" t="s">
        <v>131</v>
      </c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5" t="s">
        <v>61</v>
      </c>
      <c r="B188" s="5" t="s">
        <v>169</v>
      </c>
      <c r="C188" s="17"/>
      <c r="D188" s="63" t="s">
        <v>126</v>
      </c>
      <c r="E188" s="5" t="s">
        <v>170</v>
      </c>
      <c r="F188" s="5" t="s">
        <v>125</v>
      </c>
      <c r="G188" s="3"/>
      <c r="H188" s="5" t="s">
        <v>128</v>
      </c>
      <c r="I188" s="5" t="s">
        <v>129</v>
      </c>
      <c r="J188" s="5" t="s">
        <v>130</v>
      </c>
      <c r="K188" s="3"/>
      <c r="L188" s="3"/>
    </row>
    <row r="189" spans="1:12" ht="12.75">
      <c r="A189" s="6" t="s">
        <v>62</v>
      </c>
      <c r="B189" s="6" t="s">
        <v>62</v>
      </c>
      <c r="C189" s="18"/>
      <c r="D189" s="6" t="s">
        <v>9</v>
      </c>
      <c r="E189" s="6"/>
      <c r="F189" s="6" t="s">
        <v>15</v>
      </c>
      <c r="G189" s="3"/>
      <c r="H189" s="6" t="s">
        <v>62</v>
      </c>
      <c r="I189" s="6" t="s">
        <v>62</v>
      </c>
      <c r="J189" s="6" t="s">
        <v>62</v>
      </c>
      <c r="K189" s="3"/>
      <c r="L189" s="3"/>
    </row>
    <row r="190" spans="1:12" ht="12.75">
      <c r="A190" s="12">
        <f>G196</f>
        <v>17828.77635</v>
      </c>
      <c r="B190" s="12">
        <f>H196</f>
        <v>22403.4859125</v>
      </c>
      <c r="C190" s="35"/>
      <c r="D190" s="61">
        <v>15</v>
      </c>
      <c r="E190" s="34">
        <v>19</v>
      </c>
      <c r="F190" s="8">
        <f>E190*D190*D190*3.1416/4</f>
        <v>3357.585</v>
      </c>
      <c r="G190" s="3"/>
      <c r="H190" s="8">
        <f>A39*F190*0.001</f>
        <v>5942.925450000001</v>
      </c>
      <c r="I190" s="8">
        <f>0.6*A39*F190*0.001</f>
        <v>3565.75527</v>
      </c>
      <c r="J190" s="8">
        <f>0.85*B39*F190*0.001</f>
        <v>4480.6971825</v>
      </c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 t="s">
        <v>140</v>
      </c>
      <c r="B192" s="3"/>
      <c r="C192" s="3"/>
      <c r="D192" s="3"/>
      <c r="E192" s="3"/>
      <c r="F192" s="3" t="s">
        <v>132</v>
      </c>
      <c r="G192" s="3"/>
      <c r="H192" s="3"/>
      <c r="I192" s="3"/>
      <c r="J192" s="3" t="s">
        <v>136</v>
      </c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5" t="s">
        <v>144</v>
      </c>
      <c r="B194" s="5" t="s">
        <v>145</v>
      </c>
      <c r="C194" s="5" t="s">
        <v>146</v>
      </c>
      <c r="D194" s="5" t="s">
        <v>147</v>
      </c>
      <c r="E194" s="3"/>
      <c r="F194" s="5" t="s">
        <v>133</v>
      </c>
      <c r="G194" s="5" t="s">
        <v>142</v>
      </c>
      <c r="H194" s="5" t="s">
        <v>143</v>
      </c>
      <c r="I194" s="3"/>
      <c r="J194" s="5" t="s">
        <v>137</v>
      </c>
      <c r="K194" s="5" t="s">
        <v>138</v>
      </c>
      <c r="L194" s="5" t="s">
        <v>17</v>
      </c>
    </row>
    <row r="195" spans="1:12" ht="12.75">
      <c r="A195" s="6" t="s">
        <v>62</v>
      </c>
      <c r="B195" s="6" t="s">
        <v>62</v>
      </c>
      <c r="C195" s="6"/>
      <c r="D195" s="6"/>
      <c r="E195" s="3"/>
      <c r="F195" s="6"/>
      <c r="G195" s="6" t="s">
        <v>62</v>
      </c>
      <c r="H195" s="6" t="s">
        <v>62</v>
      </c>
      <c r="I195" s="3"/>
      <c r="J195" s="6" t="s">
        <v>9</v>
      </c>
      <c r="K195" s="6" t="s">
        <v>9</v>
      </c>
      <c r="L195" s="6" t="s">
        <v>9</v>
      </c>
    </row>
    <row r="196" spans="1:12" ht="12.75">
      <c r="A196" s="12">
        <f>0.001*$D$39*(($D$190/2)^2)*3.1416</f>
        <v>187.67133</v>
      </c>
      <c r="B196" s="12">
        <f>0.001*$C$39*(($D$190/2)^2)*3.1416</f>
        <v>235.8261675</v>
      </c>
      <c r="C196" s="7">
        <f>A190/A196</f>
        <v>95</v>
      </c>
      <c r="D196" s="7">
        <f>B190/B196</f>
        <v>95</v>
      </c>
      <c r="E196" s="3"/>
      <c r="F196" s="8">
        <v>5</v>
      </c>
      <c r="G196" s="13">
        <f>F196*$I$190</f>
        <v>17828.77635</v>
      </c>
      <c r="H196" s="13">
        <f>F196*$J$190</f>
        <v>22403.4859125</v>
      </c>
      <c r="I196" s="3"/>
      <c r="J196" s="34">
        <v>95</v>
      </c>
      <c r="K196" s="8">
        <v>102</v>
      </c>
      <c r="L196" s="34">
        <v>3</v>
      </c>
    </row>
    <row r="197" spans="1:12" ht="12.75">
      <c r="A197" s="3"/>
      <c r="B197" s="3"/>
      <c r="C197" s="3"/>
      <c r="D197" s="3"/>
      <c r="E197" s="3"/>
      <c r="F197" s="3"/>
      <c r="G197" s="62" t="s">
        <v>135</v>
      </c>
      <c r="H197" s="62" t="s">
        <v>134</v>
      </c>
      <c r="I197" s="3"/>
      <c r="J197" s="3"/>
      <c r="K197" s="62" t="s">
        <v>148</v>
      </c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 t="s">
        <v>149</v>
      </c>
      <c r="B199" s="3"/>
      <c r="C199" s="3"/>
      <c r="D199" s="3"/>
      <c r="E199" s="3"/>
      <c r="F199" s="3"/>
      <c r="G199" s="3"/>
      <c r="H199" s="32" t="s">
        <v>158</v>
      </c>
      <c r="I199" s="3"/>
      <c r="J199" s="32" t="s">
        <v>159</v>
      </c>
      <c r="K199" s="3"/>
      <c r="L199" s="32" t="s">
        <v>160</v>
      </c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4.25">
      <c r="A201" s="5" t="s">
        <v>150</v>
      </c>
      <c r="B201" s="21" t="s">
        <v>46</v>
      </c>
      <c r="C201" s="5" t="s">
        <v>96</v>
      </c>
      <c r="D201" s="5" t="s">
        <v>155</v>
      </c>
      <c r="E201" s="21" t="s">
        <v>101</v>
      </c>
      <c r="F201" s="5" t="s">
        <v>153</v>
      </c>
      <c r="G201" s="3"/>
      <c r="H201" s="14" t="s">
        <v>157</v>
      </c>
      <c r="I201" s="68"/>
      <c r="J201" s="70" t="s">
        <v>156</v>
      </c>
      <c r="K201" s="71"/>
      <c r="L201" s="21" t="s">
        <v>156</v>
      </c>
    </row>
    <row r="202" spans="1:12" ht="12.75">
      <c r="A202" s="6"/>
      <c r="B202" s="6" t="s">
        <v>152</v>
      </c>
      <c r="C202" s="6" t="s">
        <v>11</v>
      </c>
      <c r="D202" s="6"/>
      <c r="E202" s="6" t="s">
        <v>154</v>
      </c>
      <c r="F202" s="6" t="s">
        <v>154</v>
      </c>
      <c r="G202" s="3"/>
      <c r="H202" s="15" t="s">
        <v>62</v>
      </c>
      <c r="I202" s="42"/>
      <c r="J202" s="40" t="s">
        <v>62</v>
      </c>
      <c r="K202" s="23"/>
      <c r="L202" s="6" t="s">
        <v>62</v>
      </c>
    </row>
    <row r="203" spans="1:12" ht="12.75">
      <c r="A203" s="61">
        <v>0.3</v>
      </c>
      <c r="B203" s="10">
        <v>0.01</v>
      </c>
      <c r="C203" s="61">
        <v>0</v>
      </c>
      <c r="D203" s="12">
        <f>4*$I$71*0.001*(1-(2*C203/$C$5))/$C$5</f>
        <v>0.12502893009596172</v>
      </c>
      <c r="E203" s="12">
        <f>ATAN(D203)</f>
        <v>0.12438347946289187</v>
      </c>
      <c r="F203" s="12">
        <f>2*E203</f>
        <v>0.24876695892578374</v>
      </c>
      <c r="G203" s="3"/>
      <c r="H203" s="74">
        <f>H196</f>
        <v>22403.4859125</v>
      </c>
      <c r="I203" s="69"/>
      <c r="J203" s="45">
        <f>$H$203*(1-EXP(-$A$203*($E$203+$B$203*$C$5)))</f>
        <v>3325.9497829903707</v>
      </c>
      <c r="K203" s="24"/>
      <c r="L203" s="13">
        <f>$H$203*(1-EXP(-$A$203*($F$203+$B$203*$C$5)))</f>
        <v>4024.7106553095205</v>
      </c>
    </row>
    <row r="204" spans="1:12" ht="12.75">
      <c r="A204" s="62" t="s">
        <v>151</v>
      </c>
      <c r="B204" s="3"/>
      <c r="C204" s="3"/>
      <c r="D204" s="3"/>
      <c r="E204" s="3"/>
      <c r="F204" s="3"/>
      <c r="G204" s="3"/>
      <c r="H204" s="3"/>
      <c r="I204" s="3"/>
      <c r="J204" s="72">
        <f>J203/H203</f>
        <v>0.1484567980170738</v>
      </c>
      <c r="K204" s="3"/>
      <c r="L204" s="72">
        <f>L203/H203</f>
        <v>0.17964662602188786</v>
      </c>
    </row>
  </sheetData>
  <printOptions horizontalCentered="1"/>
  <pageMargins left="0.3937007874015748" right="0.1968503937007874" top="0.7874015748031497" bottom="0.5905511811023623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Bassi Roberto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Bassi Roberto</dc:creator>
  <cp:keywords/>
  <dc:description/>
  <cp:lastModifiedBy>Bassi Roberto</cp:lastModifiedBy>
  <cp:lastPrinted>1999-11-14T12:09:52Z</cp:lastPrinted>
  <dcterms:created xsi:type="dcterms:W3CDTF">1999-11-09T10:34:44Z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