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rave su suolo elastico" sheetId="1" r:id="rId1"/>
    <sheet name="Deformata" sheetId="2" r:id="rId2"/>
    <sheet name="Taglio" sheetId="3" r:id="rId3"/>
    <sheet name="Momento" sheetId="4" r:id="rId4"/>
    <sheet name="Azione assiale" sheetId="5" r:id="rId5"/>
    <sheet name="Reazione del terreno" sheetId="6" r:id="rId6"/>
  </sheets>
  <definedNames/>
  <calcPr fullCalcOnLoad="1"/>
</workbook>
</file>

<file path=xl/sharedStrings.xml><?xml version="1.0" encoding="utf-8"?>
<sst xmlns="http://schemas.openxmlformats.org/spreadsheetml/2006/main" count="226" uniqueCount="107">
  <si>
    <t>a</t>
  </si>
  <si>
    <t>l</t>
  </si>
  <si>
    <t>1/m</t>
  </si>
  <si>
    <t>m</t>
  </si>
  <si>
    <t>b</t>
  </si>
  <si>
    <t>t</t>
  </si>
  <si>
    <t>J</t>
  </si>
  <si>
    <t>mm</t>
  </si>
  <si>
    <t>mm^4</t>
  </si>
  <si>
    <t>E</t>
  </si>
  <si>
    <t>EJ</t>
  </si>
  <si>
    <t>Nmm^2</t>
  </si>
  <si>
    <t>k</t>
  </si>
  <si>
    <t>N/mm^3</t>
  </si>
  <si>
    <t>N/mm^2</t>
  </si>
  <si>
    <r>
      <t>a</t>
    </r>
    <r>
      <rPr>
        <b/>
        <sz val="10"/>
        <rFont val="Arial"/>
        <family val="2"/>
      </rPr>
      <t>^2</t>
    </r>
  </si>
  <si>
    <r>
      <t>a</t>
    </r>
    <r>
      <rPr>
        <b/>
        <sz val="10"/>
        <rFont val="Arial"/>
        <family val="2"/>
      </rPr>
      <t>^3</t>
    </r>
  </si>
  <si>
    <r>
      <t>a</t>
    </r>
    <r>
      <rPr>
        <b/>
        <sz val="10"/>
        <rFont val="Arial"/>
        <family val="2"/>
      </rPr>
      <t>l</t>
    </r>
  </si>
  <si>
    <r>
      <t>2</t>
    </r>
    <r>
      <rPr>
        <b/>
        <sz val="10"/>
        <rFont val="GreekC"/>
        <family val="0"/>
      </rPr>
      <t>a</t>
    </r>
    <r>
      <rPr>
        <b/>
        <sz val="10"/>
        <rFont val="Arial"/>
        <family val="2"/>
      </rPr>
      <t>l</t>
    </r>
  </si>
  <si>
    <r>
      <t>sen(</t>
    </r>
    <r>
      <rPr>
        <b/>
        <sz val="10"/>
        <rFont val="GreekC"/>
        <family val="0"/>
      </rPr>
      <t>a</t>
    </r>
    <r>
      <rPr>
        <b/>
        <sz val="10"/>
        <rFont val="Arial"/>
        <family val="2"/>
      </rPr>
      <t>l)</t>
    </r>
  </si>
  <si>
    <r>
      <t>cos(</t>
    </r>
    <r>
      <rPr>
        <b/>
        <sz val="10"/>
        <rFont val="GreekC"/>
        <family val="0"/>
      </rPr>
      <t>a</t>
    </r>
    <r>
      <rPr>
        <b/>
        <sz val="10"/>
        <rFont val="Arial"/>
        <family val="2"/>
      </rPr>
      <t>l)</t>
    </r>
  </si>
  <si>
    <r>
      <t>sen(2</t>
    </r>
    <r>
      <rPr>
        <b/>
        <sz val="10"/>
        <rFont val="GreekC"/>
        <family val="0"/>
      </rPr>
      <t>a</t>
    </r>
    <r>
      <rPr>
        <b/>
        <sz val="10"/>
        <rFont val="Arial"/>
        <family val="2"/>
      </rPr>
      <t>l)</t>
    </r>
  </si>
  <si>
    <r>
      <t>cos(2</t>
    </r>
    <r>
      <rPr>
        <b/>
        <sz val="10"/>
        <rFont val="GreekC"/>
        <family val="0"/>
      </rPr>
      <t>a</t>
    </r>
    <r>
      <rPr>
        <b/>
        <sz val="10"/>
        <rFont val="Arial"/>
        <family val="2"/>
      </rPr>
      <t>l)</t>
    </r>
  </si>
  <si>
    <r>
      <t>exp(</t>
    </r>
    <r>
      <rPr>
        <b/>
        <sz val="10"/>
        <rFont val="GreekC"/>
        <family val="0"/>
      </rPr>
      <t>a</t>
    </r>
    <r>
      <rPr>
        <b/>
        <sz val="10"/>
        <rFont val="Arial"/>
        <family val="2"/>
      </rPr>
      <t>l)</t>
    </r>
  </si>
  <si>
    <r>
      <t>exp(-</t>
    </r>
    <r>
      <rPr>
        <b/>
        <sz val="10"/>
        <rFont val="GreekC"/>
        <family val="0"/>
      </rPr>
      <t>a</t>
    </r>
    <r>
      <rPr>
        <b/>
        <sz val="10"/>
        <rFont val="Arial"/>
        <family val="2"/>
      </rPr>
      <t>l)</t>
    </r>
  </si>
  <si>
    <r>
      <t>exp(2</t>
    </r>
    <r>
      <rPr>
        <b/>
        <sz val="10"/>
        <rFont val="GreekC"/>
        <family val="0"/>
      </rPr>
      <t>a</t>
    </r>
    <r>
      <rPr>
        <b/>
        <sz val="10"/>
        <rFont val="Arial"/>
        <family val="2"/>
      </rPr>
      <t>l)</t>
    </r>
  </si>
  <si>
    <r>
      <t>exp(-2</t>
    </r>
    <r>
      <rPr>
        <b/>
        <sz val="10"/>
        <rFont val="GreekC"/>
        <family val="0"/>
      </rPr>
      <t>a</t>
    </r>
    <r>
      <rPr>
        <b/>
        <sz val="10"/>
        <rFont val="Arial"/>
        <family val="2"/>
      </rPr>
      <t>l)</t>
    </r>
  </si>
  <si>
    <t>A</t>
  </si>
  <si>
    <t>B</t>
  </si>
  <si>
    <t>C</t>
  </si>
  <si>
    <t>D</t>
  </si>
  <si>
    <t>Carichi:</t>
  </si>
  <si>
    <t>P1</t>
  </si>
  <si>
    <t>P2</t>
  </si>
  <si>
    <t>P3</t>
  </si>
  <si>
    <t>kN</t>
  </si>
  <si>
    <t>kN/m=N/mm</t>
  </si>
  <si>
    <t>y'(L)</t>
  </si>
  <si>
    <t>y''(L)</t>
  </si>
  <si>
    <t>y'''(L)</t>
  </si>
  <si>
    <t>y'(2L)</t>
  </si>
  <si>
    <t>y''(2L)</t>
  </si>
  <si>
    <t>y'''(2L)</t>
  </si>
  <si>
    <t>Azioni interne:</t>
  </si>
  <si>
    <t>Ascissa x</t>
  </si>
  <si>
    <t>Deformata</t>
  </si>
  <si>
    <t>Momento</t>
  </si>
  <si>
    <t>Taglio</t>
  </si>
  <si>
    <t>Azione assiale</t>
  </si>
  <si>
    <t>Coefficenti delle condizioni al contorno:</t>
  </si>
  <si>
    <t>Sistema risolvente:</t>
  </si>
  <si>
    <t>caso a:</t>
  </si>
  <si>
    <t>caso b:</t>
  </si>
  <si>
    <t>caso c:</t>
  </si>
  <si>
    <t>caso d:</t>
  </si>
  <si>
    <t>Matrice inversa:</t>
  </si>
  <si>
    <t>Risultato:</t>
  </si>
  <si>
    <t>Sezione e materiali:</t>
  </si>
  <si>
    <t>Coefficenti parziali:</t>
  </si>
  <si>
    <t>xA</t>
  </si>
  <si>
    <t>xB</t>
  </si>
  <si>
    <t>xC</t>
  </si>
  <si>
    <t>xD</t>
  </si>
  <si>
    <t>=</t>
  </si>
  <si>
    <t>x</t>
  </si>
  <si>
    <r>
      <t xml:space="preserve">A </t>
    </r>
    <r>
      <rPr>
        <sz val="10"/>
        <rFont val="Arial"/>
        <family val="2"/>
      </rPr>
      <t>( m )</t>
    </r>
  </si>
  <si>
    <r>
      <t xml:space="preserve">B </t>
    </r>
    <r>
      <rPr>
        <sz val="10"/>
        <rFont val="Arial"/>
        <family val="2"/>
      </rPr>
      <t>( m )</t>
    </r>
  </si>
  <si>
    <r>
      <t xml:space="preserve">C </t>
    </r>
    <r>
      <rPr>
        <sz val="10"/>
        <rFont val="Arial"/>
        <family val="2"/>
      </rPr>
      <t>( m )</t>
    </r>
  </si>
  <si>
    <r>
      <t xml:space="preserve">D </t>
    </r>
    <r>
      <rPr>
        <sz val="10"/>
        <rFont val="Arial"/>
        <family val="2"/>
      </rPr>
      <t>( m )</t>
    </r>
  </si>
  <si>
    <t>kNm</t>
  </si>
  <si>
    <t>y'''(0)=P1/EJ</t>
  </si>
  <si>
    <t>y'''(2L)=-P3/EJ</t>
  </si>
  <si>
    <t>y'''(0)=P2/2EJ</t>
  </si>
  <si>
    <t>y'''(0)=0</t>
  </si>
  <si>
    <t>y''(0)=0</t>
  </si>
  <si>
    <t>y'''(2L)=0</t>
  </si>
  <si>
    <t>y''(2L)=0</t>
  </si>
  <si>
    <t>y'''(L)=0</t>
  </si>
  <si>
    <t>y''(L)=0</t>
  </si>
  <si>
    <t>Risultato parziale:</t>
  </si>
  <si>
    <t>Reazione</t>
  </si>
  <si>
    <t>MPa=N/mm^2</t>
  </si>
  <si>
    <t>Analisi sulla sezione:</t>
  </si>
  <si>
    <t>Mmax</t>
  </si>
  <si>
    <t>M+</t>
  </si>
  <si>
    <t>M-</t>
  </si>
  <si>
    <t>N+</t>
  </si>
  <si>
    <t>N-</t>
  </si>
  <si>
    <t>Nmax</t>
  </si>
  <si>
    <t>T+</t>
  </si>
  <si>
    <t>T-</t>
  </si>
  <si>
    <t>Tmax</t>
  </si>
  <si>
    <t>mm^2</t>
  </si>
  <si>
    <t>Sn</t>
  </si>
  <si>
    <r>
      <t>s</t>
    </r>
    <r>
      <rPr>
        <b/>
        <sz val="10"/>
        <rFont val="Arial"/>
        <family val="2"/>
      </rPr>
      <t>N</t>
    </r>
  </si>
  <si>
    <t>S</t>
  </si>
  <si>
    <r>
      <t>s</t>
    </r>
    <r>
      <rPr>
        <b/>
        <sz val="10"/>
        <rFont val="Arial"/>
        <family val="2"/>
      </rPr>
      <t>M</t>
    </r>
  </si>
  <si>
    <t>caso i:</t>
  </si>
  <si>
    <t>y'''(L)=-P2/2EJ</t>
  </si>
  <si>
    <t>y'(L)=0</t>
  </si>
  <si>
    <t>y'(0)</t>
  </si>
  <si>
    <t>y''(0)</t>
  </si>
  <si>
    <t>y'''(0)</t>
  </si>
  <si>
    <t>caso ii:</t>
  </si>
  <si>
    <t>y'(0)=0</t>
  </si>
  <si>
    <t>y'''(L)=-P3/EJ</t>
  </si>
  <si>
    <t>p'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</si>
</sst>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E+00;\ĝ"/>
    <numFmt numFmtId="166" formatCode="0.0000E+00;\ᑸ"/>
    <numFmt numFmtId="167" formatCode="0.00000E+00;\ᑸ"/>
    <numFmt numFmtId="168" formatCode="0.000000E+00;\ᑸ"/>
    <numFmt numFmtId="169" formatCode="0.00000"/>
    <numFmt numFmtId="170" formatCode="0.000000"/>
    <numFmt numFmtId="171" formatCode="0.0000"/>
    <numFmt numFmtId="172" formatCode="0.0000000"/>
    <numFmt numFmtId="173" formatCode="0.00000000"/>
    <numFmt numFmtId="174" formatCode="0.000000000"/>
    <numFmt numFmtId="175" formatCode="0.000"/>
    <numFmt numFmtId="176" formatCode="0.0000000000"/>
    <numFmt numFmtId="177" formatCode="0.000000000000"/>
    <numFmt numFmtId="178" formatCode="0.0000000000000"/>
    <numFmt numFmtId="179" formatCode="0.00000000000000000"/>
    <numFmt numFmtId="180" formatCode="0.0000E+00"/>
    <numFmt numFmtId="181" formatCode="0.000000E+00"/>
    <numFmt numFmtId="182" formatCode="0.000000000000E+00"/>
    <numFmt numFmtId="183" formatCode="0.00000000E+00"/>
    <numFmt numFmtId="184" formatCode="0.00000000000"/>
    <numFmt numFmtId="185" formatCode="0.00000000000000"/>
    <numFmt numFmtId="186" formatCode="0.000000000000000"/>
    <numFmt numFmtId="187" formatCode="0.0000000000000000"/>
    <numFmt numFmtId="188" formatCode="0.000E+00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GreekC"/>
      <family val="0"/>
    </font>
    <font>
      <b/>
      <sz val="10"/>
      <name val="Arial"/>
      <family val="0"/>
    </font>
    <font>
      <sz val="9"/>
      <name val="Arial"/>
      <family val="2"/>
    </font>
    <font>
      <sz val="26"/>
      <name val="Arial"/>
      <family val="0"/>
    </font>
    <font>
      <sz val="10.5"/>
      <name val="Arial"/>
      <family val="2"/>
    </font>
    <font>
      <sz val="12"/>
      <name val="Arial"/>
      <family val="2"/>
    </font>
    <font>
      <sz val="10"/>
      <color indexed="9"/>
      <name val="GreekC"/>
      <family val="0"/>
    </font>
    <font>
      <sz val="10"/>
      <color indexed="9"/>
      <name val="Arial"/>
      <family val="0"/>
    </font>
    <font>
      <sz val="7"/>
      <name val="Arial"/>
      <family val="2"/>
    </font>
    <font>
      <sz val="8"/>
      <color indexed="56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171" fontId="0" fillId="2" borderId="5" xfId="0" applyNumberForma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77" fontId="0" fillId="2" borderId="5" xfId="0" applyNumberFormat="1" applyFont="1" applyFill="1" applyBorder="1" applyAlignment="1">
      <alignment horizontal="right"/>
    </xf>
    <xf numFmtId="177" fontId="0" fillId="2" borderId="5" xfId="0" applyNumberFormat="1" applyFont="1" applyFill="1" applyBorder="1" applyAlignment="1">
      <alignment/>
    </xf>
    <xf numFmtId="177" fontId="4" fillId="2" borderId="5" xfId="0" applyNumberFormat="1" applyFont="1" applyFill="1" applyBorder="1" applyAlignment="1">
      <alignment/>
    </xf>
    <xf numFmtId="177" fontId="4" fillId="2" borderId="5" xfId="0" applyNumberFormat="1" applyFont="1" applyFill="1" applyBorder="1" applyAlignment="1">
      <alignment horizontal="center"/>
    </xf>
    <xf numFmtId="177" fontId="1" fillId="2" borderId="5" xfId="0" applyNumberFormat="1" applyFont="1" applyFill="1" applyBorder="1" applyAlignment="1">
      <alignment/>
    </xf>
    <xf numFmtId="177" fontId="1" fillId="2" borderId="0" xfId="0" applyNumberFormat="1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87" fontId="0" fillId="2" borderId="5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10" fillId="2" borderId="6" xfId="0" applyFont="1" applyFill="1" applyBorder="1" applyAlignment="1">
      <alignment horizontal="left"/>
    </xf>
    <xf numFmtId="177" fontId="1" fillId="2" borderId="0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 horizontal="right"/>
    </xf>
    <xf numFmtId="177" fontId="0" fillId="2" borderId="0" xfId="0" applyNumberFormat="1" applyFont="1" applyFill="1" applyBorder="1" applyAlignment="1">
      <alignment/>
    </xf>
    <xf numFmtId="187" fontId="0" fillId="2" borderId="0" xfId="0" applyNumberFormat="1" applyFill="1" applyBorder="1" applyAlignment="1">
      <alignment/>
    </xf>
    <xf numFmtId="178" fontId="11" fillId="2" borderId="5" xfId="0" applyNumberFormat="1" applyFont="1" applyFill="1" applyBorder="1" applyAlignment="1">
      <alignment horizontal="right"/>
    </xf>
    <xf numFmtId="17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71" fontId="0" fillId="2" borderId="6" xfId="0" applyNumberFormat="1" applyFill="1" applyBorder="1" applyAlignment="1">
      <alignment horizontal="center"/>
    </xf>
    <xf numFmtId="171" fontId="0" fillId="2" borderId="4" xfId="0" applyNumberFormat="1" applyFill="1" applyBorder="1" applyAlignment="1">
      <alignment horizontal="center"/>
    </xf>
    <xf numFmtId="175" fontId="0" fillId="2" borderId="5" xfId="0" applyNumberFormat="1" applyFill="1" applyBorder="1" applyAlignment="1">
      <alignment horizontal="center"/>
    </xf>
    <xf numFmtId="171" fontId="0" fillId="2" borderId="5" xfId="0" applyNumberFormat="1" applyFill="1" applyBorder="1" applyAlignment="1" quotePrefix="1">
      <alignment horizontal="center"/>
    </xf>
    <xf numFmtId="171" fontId="0" fillId="2" borderId="7" xfId="0" applyNumberForma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77" fontId="0" fillId="2" borderId="5" xfId="0" applyNumberFormat="1" applyFont="1" applyFill="1" applyBorder="1" applyAlignment="1">
      <alignment horizontal="center"/>
    </xf>
    <xf numFmtId="177" fontId="0" fillId="2" borderId="6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77" fontId="12" fillId="2" borderId="0" xfId="0" applyNumberFormat="1" applyFont="1" applyFill="1" applyAlignment="1">
      <alignment horizontal="center"/>
    </xf>
    <xf numFmtId="2" fontId="0" fillId="2" borderId="0" xfId="0" applyNumberFormat="1" applyFill="1" applyBorder="1" applyAlignment="1">
      <alignment horizontal="center"/>
    </xf>
    <xf numFmtId="171" fontId="0" fillId="2" borderId="8" xfId="0" applyNumberFormat="1" applyFill="1" applyBorder="1" applyAlignment="1">
      <alignment horizontal="center"/>
    </xf>
    <xf numFmtId="171" fontId="0" fillId="2" borderId="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'Trave su suolo elastico'!$B$15:$B$16</c:f>
              <c:strCache>
                <c:ptCount val="1"/>
                <c:pt idx="0">
                  <c:v>Deformata mm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'Trave su suolo elastico'!$A$17:$A$137</c:f>
              <c:numCache>
                <c:ptCount val="121"/>
                <c:pt idx="0">
                  <c:v>6</c:v>
                </c:pt>
                <c:pt idx="1">
                  <c:v>5.9</c:v>
                </c:pt>
                <c:pt idx="2">
                  <c:v>5.800000000000001</c:v>
                </c:pt>
                <c:pt idx="3">
                  <c:v>5.700000000000001</c:v>
                </c:pt>
                <c:pt idx="4">
                  <c:v>5.600000000000001</c:v>
                </c:pt>
                <c:pt idx="5">
                  <c:v>5.500000000000002</c:v>
                </c:pt>
                <c:pt idx="6">
                  <c:v>5.400000000000002</c:v>
                </c:pt>
                <c:pt idx="7">
                  <c:v>5.3000000000000025</c:v>
                </c:pt>
                <c:pt idx="8">
                  <c:v>5.200000000000003</c:v>
                </c:pt>
                <c:pt idx="9">
                  <c:v>5.100000000000003</c:v>
                </c:pt>
                <c:pt idx="10">
                  <c:v>5.0000000000000036</c:v>
                </c:pt>
                <c:pt idx="11">
                  <c:v>4.900000000000004</c:v>
                </c:pt>
                <c:pt idx="12">
                  <c:v>4.800000000000004</c:v>
                </c:pt>
                <c:pt idx="13">
                  <c:v>4.700000000000005</c:v>
                </c:pt>
                <c:pt idx="14">
                  <c:v>4.600000000000005</c:v>
                </c:pt>
                <c:pt idx="15">
                  <c:v>4.500000000000005</c:v>
                </c:pt>
                <c:pt idx="16">
                  <c:v>4.400000000000006</c:v>
                </c:pt>
                <c:pt idx="17">
                  <c:v>4.300000000000006</c:v>
                </c:pt>
                <c:pt idx="18">
                  <c:v>4.200000000000006</c:v>
                </c:pt>
                <c:pt idx="19">
                  <c:v>4.100000000000007</c:v>
                </c:pt>
                <c:pt idx="20">
                  <c:v>4.000000000000007</c:v>
                </c:pt>
                <c:pt idx="21">
                  <c:v>3.900000000000007</c:v>
                </c:pt>
                <c:pt idx="22">
                  <c:v>3.800000000000007</c:v>
                </c:pt>
                <c:pt idx="23">
                  <c:v>3.700000000000007</c:v>
                </c:pt>
                <c:pt idx="24">
                  <c:v>3.6000000000000068</c:v>
                </c:pt>
                <c:pt idx="25">
                  <c:v>3.5000000000000067</c:v>
                </c:pt>
                <c:pt idx="26">
                  <c:v>3.4000000000000066</c:v>
                </c:pt>
                <c:pt idx="27">
                  <c:v>3.3000000000000065</c:v>
                </c:pt>
                <c:pt idx="28">
                  <c:v>3.2000000000000064</c:v>
                </c:pt>
                <c:pt idx="29">
                  <c:v>3.1000000000000063</c:v>
                </c:pt>
                <c:pt idx="30">
                  <c:v>3.000000000000006</c:v>
                </c:pt>
                <c:pt idx="31">
                  <c:v>2.900000000000006</c:v>
                </c:pt>
                <c:pt idx="32">
                  <c:v>2.800000000000006</c:v>
                </c:pt>
                <c:pt idx="33">
                  <c:v>2.700000000000006</c:v>
                </c:pt>
                <c:pt idx="34">
                  <c:v>2.600000000000006</c:v>
                </c:pt>
                <c:pt idx="35">
                  <c:v>2.5000000000000058</c:v>
                </c:pt>
                <c:pt idx="36">
                  <c:v>2.4000000000000057</c:v>
                </c:pt>
                <c:pt idx="37">
                  <c:v>2.3000000000000056</c:v>
                </c:pt>
                <c:pt idx="38">
                  <c:v>2.2000000000000055</c:v>
                </c:pt>
                <c:pt idx="39">
                  <c:v>2.1000000000000054</c:v>
                </c:pt>
                <c:pt idx="40">
                  <c:v>2.0000000000000053</c:v>
                </c:pt>
                <c:pt idx="41">
                  <c:v>1.9000000000000052</c:v>
                </c:pt>
                <c:pt idx="42">
                  <c:v>1.8000000000000052</c:v>
                </c:pt>
                <c:pt idx="43">
                  <c:v>1.700000000000005</c:v>
                </c:pt>
                <c:pt idx="44">
                  <c:v>1.600000000000005</c:v>
                </c:pt>
                <c:pt idx="45">
                  <c:v>1.5000000000000049</c:v>
                </c:pt>
                <c:pt idx="46">
                  <c:v>1.4000000000000048</c:v>
                </c:pt>
                <c:pt idx="47">
                  <c:v>1.3000000000000047</c:v>
                </c:pt>
                <c:pt idx="48">
                  <c:v>1.2000000000000046</c:v>
                </c:pt>
                <c:pt idx="49">
                  <c:v>1.1000000000000045</c:v>
                </c:pt>
                <c:pt idx="50">
                  <c:v>1.0000000000000044</c:v>
                </c:pt>
                <c:pt idx="51">
                  <c:v>0.9000000000000045</c:v>
                </c:pt>
                <c:pt idx="52">
                  <c:v>0.8000000000000045</c:v>
                </c:pt>
                <c:pt idx="53">
                  <c:v>0.7000000000000045</c:v>
                </c:pt>
                <c:pt idx="54">
                  <c:v>0.6000000000000045</c:v>
                </c:pt>
                <c:pt idx="55">
                  <c:v>0.5000000000000046</c:v>
                </c:pt>
                <c:pt idx="56">
                  <c:v>0.4000000000000046</c:v>
                </c:pt>
                <c:pt idx="57">
                  <c:v>0.3000000000000046</c:v>
                </c:pt>
                <c:pt idx="58">
                  <c:v>0.2000000000000046</c:v>
                </c:pt>
                <c:pt idx="59">
                  <c:v>0.10000000000000459</c:v>
                </c:pt>
                <c:pt idx="60">
                  <c:v>4.579669976578771E-15</c:v>
                </c:pt>
                <c:pt idx="61">
                  <c:v>0.10000000000000459</c:v>
                </c:pt>
                <c:pt idx="62">
                  <c:v>0.2000000000000046</c:v>
                </c:pt>
                <c:pt idx="63">
                  <c:v>0.3000000000000046</c:v>
                </c:pt>
                <c:pt idx="64">
                  <c:v>0.4000000000000046</c:v>
                </c:pt>
                <c:pt idx="65">
                  <c:v>0.5000000000000046</c:v>
                </c:pt>
                <c:pt idx="66">
                  <c:v>0.6000000000000045</c:v>
                </c:pt>
                <c:pt idx="67">
                  <c:v>0.7000000000000045</c:v>
                </c:pt>
                <c:pt idx="68">
                  <c:v>0.8000000000000045</c:v>
                </c:pt>
                <c:pt idx="69">
                  <c:v>0.9000000000000045</c:v>
                </c:pt>
                <c:pt idx="70">
                  <c:v>1.0000000000000044</c:v>
                </c:pt>
                <c:pt idx="71">
                  <c:v>1.1000000000000045</c:v>
                </c:pt>
                <c:pt idx="72">
                  <c:v>1.2000000000000046</c:v>
                </c:pt>
                <c:pt idx="73">
                  <c:v>1.3000000000000047</c:v>
                </c:pt>
                <c:pt idx="74">
                  <c:v>1.4000000000000048</c:v>
                </c:pt>
                <c:pt idx="75">
                  <c:v>1.5000000000000049</c:v>
                </c:pt>
                <c:pt idx="76">
                  <c:v>1.600000000000005</c:v>
                </c:pt>
                <c:pt idx="77">
                  <c:v>1.700000000000005</c:v>
                </c:pt>
                <c:pt idx="78">
                  <c:v>1.8000000000000052</c:v>
                </c:pt>
                <c:pt idx="79">
                  <c:v>1.9000000000000052</c:v>
                </c:pt>
                <c:pt idx="80">
                  <c:v>2.0000000000000053</c:v>
                </c:pt>
                <c:pt idx="81">
                  <c:v>2.1000000000000054</c:v>
                </c:pt>
                <c:pt idx="82">
                  <c:v>2.2000000000000055</c:v>
                </c:pt>
                <c:pt idx="83">
                  <c:v>2.3000000000000056</c:v>
                </c:pt>
                <c:pt idx="84">
                  <c:v>2.4000000000000057</c:v>
                </c:pt>
                <c:pt idx="85">
                  <c:v>2.5000000000000058</c:v>
                </c:pt>
                <c:pt idx="86">
                  <c:v>2.600000000000006</c:v>
                </c:pt>
                <c:pt idx="87">
                  <c:v>2.700000000000006</c:v>
                </c:pt>
                <c:pt idx="88">
                  <c:v>2.800000000000006</c:v>
                </c:pt>
                <c:pt idx="89">
                  <c:v>2.900000000000006</c:v>
                </c:pt>
                <c:pt idx="90">
                  <c:v>3.000000000000006</c:v>
                </c:pt>
                <c:pt idx="91">
                  <c:v>3.1000000000000063</c:v>
                </c:pt>
                <c:pt idx="92">
                  <c:v>3.2000000000000064</c:v>
                </c:pt>
                <c:pt idx="93">
                  <c:v>3.3000000000000065</c:v>
                </c:pt>
                <c:pt idx="94">
                  <c:v>3.4000000000000066</c:v>
                </c:pt>
                <c:pt idx="95">
                  <c:v>3.5000000000000067</c:v>
                </c:pt>
                <c:pt idx="96">
                  <c:v>3.6000000000000068</c:v>
                </c:pt>
                <c:pt idx="97">
                  <c:v>3.700000000000007</c:v>
                </c:pt>
                <c:pt idx="98">
                  <c:v>3.800000000000007</c:v>
                </c:pt>
                <c:pt idx="99">
                  <c:v>3.900000000000007</c:v>
                </c:pt>
                <c:pt idx="100">
                  <c:v>4.000000000000007</c:v>
                </c:pt>
                <c:pt idx="101">
                  <c:v>4.100000000000007</c:v>
                </c:pt>
                <c:pt idx="102">
                  <c:v>4.200000000000006</c:v>
                </c:pt>
                <c:pt idx="103">
                  <c:v>4.300000000000006</c:v>
                </c:pt>
                <c:pt idx="104">
                  <c:v>4.400000000000006</c:v>
                </c:pt>
                <c:pt idx="105">
                  <c:v>4.500000000000005</c:v>
                </c:pt>
                <c:pt idx="106">
                  <c:v>4.600000000000005</c:v>
                </c:pt>
                <c:pt idx="107">
                  <c:v>4.700000000000005</c:v>
                </c:pt>
                <c:pt idx="108">
                  <c:v>4.800000000000004</c:v>
                </c:pt>
                <c:pt idx="109">
                  <c:v>4.900000000000004</c:v>
                </c:pt>
                <c:pt idx="110">
                  <c:v>5.0000000000000036</c:v>
                </c:pt>
                <c:pt idx="111">
                  <c:v>5.100000000000003</c:v>
                </c:pt>
                <c:pt idx="112">
                  <c:v>5.200000000000003</c:v>
                </c:pt>
                <c:pt idx="113">
                  <c:v>5.3000000000000025</c:v>
                </c:pt>
                <c:pt idx="114">
                  <c:v>5.400000000000002</c:v>
                </c:pt>
                <c:pt idx="115">
                  <c:v>5.500000000000002</c:v>
                </c:pt>
                <c:pt idx="116">
                  <c:v>5.600000000000001</c:v>
                </c:pt>
                <c:pt idx="117">
                  <c:v>5.700000000000001</c:v>
                </c:pt>
                <c:pt idx="118">
                  <c:v>5.800000000000001</c:v>
                </c:pt>
                <c:pt idx="119">
                  <c:v>5.9</c:v>
                </c:pt>
                <c:pt idx="120">
                  <c:v>6</c:v>
                </c:pt>
              </c:numCache>
            </c:numRef>
          </c:cat>
          <c:val>
            <c:numRef>
              <c:f>'Trave su suolo elastico'!$B$17:$B$137</c:f>
              <c:numCache>
                <c:ptCount val="121"/>
                <c:pt idx="0">
                  <c:v>1.8834087400644195</c:v>
                </c:pt>
                <c:pt idx="1">
                  <c:v>1.7758603482872248</c:v>
                </c:pt>
                <c:pt idx="2">
                  <c:v>1.669172105083769</c:v>
                </c:pt>
                <c:pt idx="3">
                  <c:v>1.5641084413278277</c:v>
                </c:pt>
                <c:pt idx="4">
                  <c:v>1.4613333733348366</c:v>
                </c:pt>
                <c:pt idx="5">
                  <c:v>1.361418297939255</c:v>
                </c:pt>
                <c:pt idx="6">
                  <c:v>1.2648496187396623</c:v>
                </c:pt>
                <c:pt idx="7">
                  <c:v>1.1720361609783616</c:v>
                </c:pt>
                <c:pt idx="8">
                  <c:v>1.0833163388374827</c:v>
                </c:pt>
                <c:pt idx="9">
                  <c:v>0.9989650446985705</c:v>
                </c:pt>
                <c:pt idx="10">
                  <c:v>0.919200235145651</c:v>
                </c:pt>
                <c:pt idx="11">
                  <c:v>0.8441891932134179</c:v>
                </c:pt>
                <c:pt idx="12">
                  <c:v>0.7740544506149344</c:v>
                </c:pt>
                <c:pt idx="13">
                  <c:v>0.7088793574510802</c:v>
                </c:pt>
                <c:pt idx="14">
                  <c:v>0.648713290232112</c:v>
                </c:pt>
                <c:pt idx="15">
                  <c:v>0.5935764919562867</c:v>
                </c:pt>
                <c:pt idx="16">
                  <c:v>0.5434645405183315</c:v>
                </c:pt>
                <c:pt idx="17">
                  <c:v>0.49835244388896843</c:v>
                </c:pt>
                <c:pt idx="18">
                  <c:v>0.45819836234322575</c:v>
                </c:pt>
                <c:pt idx="19">
                  <c:v>0.42294695954768263</c:v>
                </c:pt>
                <c:pt idx="20">
                  <c:v>0.39253238557267994</c:v>
                </c:pt>
                <c:pt idx="21">
                  <c:v>0.3668808959025205</c:v>
                </c:pt>
                <c:pt idx="22">
                  <c:v>0.34591311130204994</c:v>
                </c:pt>
                <c:pt idx="23">
                  <c:v>0.32954592398879945</c:v>
                </c:pt>
                <c:pt idx="24">
                  <c:v>0.31769405598276007</c:v>
                </c:pt>
                <c:pt idx="25">
                  <c:v>0.31027127578708236</c:v>
                </c:pt>
                <c:pt idx="26">
                  <c:v>0.3071912797184167</c:v>
                </c:pt>
                <c:pt idx="27">
                  <c:v>0.3083682442805751</c:v>
                </c:pt>
                <c:pt idx="28">
                  <c:v>0.3137170559846317</c:v>
                </c:pt>
                <c:pt idx="29">
                  <c:v>0.32315322498690774</c:v>
                </c:pt>
                <c:pt idx="30">
                  <c:v>0.33659248886746423</c:v>
                </c:pt>
                <c:pt idx="31">
                  <c:v>0.35395011282924604</c:v>
                </c:pt>
                <c:pt idx="32">
                  <c:v>0.37513989258488206</c:v>
                </c:pt>
                <c:pt idx="33">
                  <c:v>0.40007286623691785</c:v>
                </c:pt>
                <c:pt idx="34">
                  <c:v>0.42865574156999486</c:v>
                </c:pt>
                <c:pt idx="35">
                  <c:v>0.4607890453818311</c:v>
                </c:pt>
                <c:pt idx="36">
                  <c:v>0.49636500180491877</c:v>
                </c:pt>
                <c:pt idx="37">
                  <c:v>0.5352651470332842</c:v>
                </c:pt>
                <c:pt idx="38">
                  <c:v>0.5773576884885747</c:v>
                </c:pt>
                <c:pt idx="39">
                  <c:v>0.6224946172567161</c:v>
                </c:pt>
                <c:pt idx="40">
                  <c:v>0.6705085836193923</c:v>
                </c:pt>
                <c:pt idx="41">
                  <c:v>0.7212095467119587</c:v>
                </c:pt>
                <c:pt idx="42">
                  <c:v>0.7743812107786681</c:v>
                </c:pt>
                <c:pt idx="43">
                  <c:v>0.8297772621840582</c:v>
                </c:pt>
                <c:pt idx="44">
                  <c:v>0.8871174232918168</c:v>
                </c:pt>
                <c:pt idx="45">
                  <c:v>0.9460833415541977</c:v>
                </c:pt>
                <c:pt idx="46">
                  <c:v>1.0063143346796797</c:v>
                </c:pt>
                <c:pt idx="47">
                  <c:v>1.067403015576244</c:v>
                </c:pt>
                <c:pt idx="48">
                  <c:v>1.128890823913051</c:v>
                </c:pt>
                <c:pt idx="49">
                  <c:v>1.1902634946133201</c:v>
                </c:pt>
                <c:pt idx="50">
                  <c:v>1.2509464973927307</c:v>
                </c:pt>
                <c:pt idx="51">
                  <c:v>1.3103004855953437</c:v>
                </c:pt>
                <c:pt idx="52">
                  <c:v>1.3676167970549338</c:v>
                </c:pt>
                <c:pt idx="53">
                  <c:v>1.4221130545230338</c:v>
                </c:pt>
                <c:pt idx="54">
                  <c:v>1.47292891835197</c:v>
                </c:pt>
                <c:pt idx="55">
                  <c:v>1.5191220495942486</c:v>
                </c:pt>
                <c:pt idx="56">
                  <c:v>1.5596643474674805</c:v>
                </c:pt>
                <c:pt idx="57">
                  <c:v>1.5934385312208994</c:v>
                </c:pt>
                <c:pt idx="58">
                  <c:v>1.6192351428049618</c:v>
                </c:pt>
                <c:pt idx="59">
                  <c:v>1.6357500533639098</c:v>
                </c:pt>
                <c:pt idx="60">
                  <c:v>1.6415825634111212</c:v>
                </c:pt>
                <c:pt idx="61">
                  <c:v>1.6357500533639098</c:v>
                </c:pt>
                <c:pt idx="62">
                  <c:v>1.6192351428049618</c:v>
                </c:pt>
                <c:pt idx="63">
                  <c:v>1.5934385312208994</c:v>
                </c:pt>
                <c:pt idx="64">
                  <c:v>1.5596643474674805</c:v>
                </c:pt>
                <c:pt idx="65">
                  <c:v>1.5191220495942486</c:v>
                </c:pt>
                <c:pt idx="66">
                  <c:v>1.47292891835197</c:v>
                </c:pt>
                <c:pt idx="67">
                  <c:v>1.4221130545230338</c:v>
                </c:pt>
                <c:pt idx="68">
                  <c:v>1.3676167970549338</c:v>
                </c:pt>
                <c:pt idx="69">
                  <c:v>1.3103004855953437</c:v>
                </c:pt>
                <c:pt idx="70">
                  <c:v>1.2509464973927307</c:v>
                </c:pt>
                <c:pt idx="71">
                  <c:v>1.1902634946133201</c:v>
                </c:pt>
                <c:pt idx="72">
                  <c:v>1.128890823913051</c:v>
                </c:pt>
                <c:pt idx="73">
                  <c:v>1.067403015576244</c:v>
                </c:pt>
                <c:pt idx="74">
                  <c:v>1.0063143346796797</c:v>
                </c:pt>
                <c:pt idx="75">
                  <c:v>0.9460833415541977</c:v>
                </c:pt>
                <c:pt idx="76">
                  <c:v>0.8871174232918168</c:v>
                </c:pt>
                <c:pt idx="77">
                  <c:v>0.8297772621840582</c:v>
                </c:pt>
                <c:pt idx="78">
                  <c:v>0.7743812107786681</c:v>
                </c:pt>
                <c:pt idx="79">
                  <c:v>0.7212095467119587</c:v>
                </c:pt>
                <c:pt idx="80">
                  <c:v>0.6705085836193923</c:v>
                </c:pt>
                <c:pt idx="81">
                  <c:v>0.6224946172567161</c:v>
                </c:pt>
                <c:pt idx="82">
                  <c:v>0.5773576884885747</c:v>
                </c:pt>
                <c:pt idx="83">
                  <c:v>0.5352651470332842</c:v>
                </c:pt>
                <c:pt idx="84">
                  <c:v>0.49636500180491877</c:v>
                </c:pt>
                <c:pt idx="85">
                  <c:v>0.4607890453818311</c:v>
                </c:pt>
                <c:pt idx="86">
                  <c:v>0.42865574156999486</c:v>
                </c:pt>
                <c:pt idx="87">
                  <c:v>0.40007286623691785</c:v>
                </c:pt>
                <c:pt idx="88">
                  <c:v>0.37513989258488206</c:v>
                </c:pt>
                <c:pt idx="89">
                  <c:v>0.35395011282924604</c:v>
                </c:pt>
                <c:pt idx="90">
                  <c:v>0.33659248886746423</c:v>
                </c:pt>
                <c:pt idx="91">
                  <c:v>0.32315322498690774</c:v>
                </c:pt>
                <c:pt idx="92">
                  <c:v>0.3137170559846317</c:v>
                </c:pt>
                <c:pt idx="93">
                  <c:v>0.3083682442805751</c:v>
                </c:pt>
                <c:pt idx="94">
                  <c:v>0.3071912797184167</c:v>
                </c:pt>
                <c:pt idx="95">
                  <c:v>0.31027127578708236</c:v>
                </c:pt>
                <c:pt idx="96">
                  <c:v>0.31769405598276007</c:v>
                </c:pt>
                <c:pt idx="97">
                  <c:v>0.32954592398879945</c:v>
                </c:pt>
                <c:pt idx="98">
                  <c:v>0.34591311130204994</c:v>
                </c:pt>
                <c:pt idx="99">
                  <c:v>0.3668808959025205</c:v>
                </c:pt>
                <c:pt idx="100">
                  <c:v>0.39253238557267994</c:v>
                </c:pt>
                <c:pt idx="101">
                  <c:v>0.42294695954768263</c:v>
                </c:pt>
                <c:pt idx="102">
                  <c:v>0.45819836234322575</c:v>
                </c:pt>
                <c:pt idx="103">
                  <c:v>0.49835244388896843</c:v>
                </c:pt>
                <c:pt idx="104">
                  <c:v>0.5434645405183315</c:v>
                </c:pt>
                <c:pt idx="105">
                  <c:v>0.5935764919562867</c:v>
                </c:pt>
                <c:pt idx="106">
                  <c:v>0.648713290232112</c:v>
                </c:pt>
                <c:pt idx="107">
                  <c:v>0.7088793574510802</c:v>
                </c:pt>
                <c:pt idx="108">
                  <c:v>0.7740544506149344</c:v>
                </c:pt>
                <c:pt idx="109">
                  <c:v>0.8441891932134179</c:v>
                </c:pt>
                <c:pt idx="110">
                  <c:v>0.919200235145651</c:v>
                </c:pt>
                <c:pt idx="111">
                  <c:v>0.9989650446985705</c:v>
                </c:pt>
                <c:pt idx="112">
                  <c:v>1.0833163388374827</c:v>
                </c:pt>
                <c:pt idx="113">
                  <c:v>1.1720361609783616</c:v>
                </c:pt>
                <c:pt idx="114">
                  <c:v>1.2648496187396623</c:v>
                </c:pt>
                <c:pt idx="115">
                  <c:v>1.361418297939255</c:v>
                </c:pt>
                <c:pt idx="116">
                  <c:v>1.4613333733348366</c:v>
                </c:pt>
                <c:pt idx="117">
                  <c:v>1.5641084413278277</c:v>
                </c:pt>
                <c:pt idx="118">
                  <c:v>1.669172105083769</c:v>
                </c:pt>
                <c:pt idx="119">
                  <c:v>1.7758603482872248</c:v>
                </c:pt>
                <c:pt idx="120">
                  <c:v>1.8834087400644195</c:v>
                </c:pt>
              </c:numCache>
            </c:numRef>
          </c:val>
          <c:smooth val="0"/>
        </c:ser>
        <c:dropLines>
          <c:spPr>
            <a:ln w="3175">
              <a:solidFill>
                <a:srgbClr val="FFCC99"/>
              </a:solidFill>
            </a:ln>
          </c:spPr>
        </c:dropLines>
        <c:marker val="1"/>
        <c:axId val="31910023"/>
        <c:axId val="18754752"/>
      </c:lineChart>
      <c:catAx>
        <c:axId val="319100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Ascissa x ( m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 val="autoZero"/>
        <c:auto val="1"/>
        <c:lblOffset val="100"/>
        <c:noMultiLvlLbl val="0"/>
      </c:catAx>
      <c:valAx>
        <c:axId val="1875475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Deformata ( mm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cross"/>
        <c:minorTickMark val="out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'Trave su suolo elastico'!$D$15:$D$16</c:f>
              <c:strCache>
                <c:ptCount val="1"/>
                <c:pt idx="0">
                  <c:v>Taglio kN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'Trave su suolo elastico'!$A$17:$A$137</c:f>
              <c:numCache>
                <c:ptCount val="121"/>
                <c:pt idx="0">
                  <c:v>6</c:v>
                </c:pt>
                <c:pt idx="1">
                  <c:v>5.9</c:v>
                </c:pt>
                <c:pt idx="2">
                  <c:v>5.800000000000001</c:v>
                </c:pt>
                <c:pt idx="3">
                  <c:v>5.700000000000001</c:v>
                </c:pt>
                <c:pt idx="4">
                  <c:v>5.600000000000001</c:v>
                </c:pt>
                <c:pt idx="5">
                  <c:v>5.500000000000002</c:v>
                </c:pt>
                <c:pt idx="6">
                  <c:v>5.400000000000002</c:v>
                </c:pt>
                <c:pt idx="7">
                  <c:v>5.3000000000000025</c:v>
                </c:pt>
                <c:pt idx="8">
                  <c:v>5.200000000000003</c:v>
                </c:pt>
                <c:pt idx="9">
                  <c:v>5.100000000000003</c:v>
                </c:pt>
                <c:pt idx="10">
                  <c:v>5.0000000000000036</c:v>
                </c:pt>
                <c:pt idx="11">
                  <c:v>4.900000000000004</c:v>
                </c:pt>
                <c:pt idx="12">
                  <c:v>4.800000000000004</c:v>
                </c:pt>
                <c:pt idx="13">
                  <c:v>4.700000000000005</c:v>
                </c:pt>
                <c:pt idx="14">
                  <c:v>4.600000000000005</c:v>
                </c:pt>
                <c:pt idx="15">
                  <c:v>4.500000000000005</c:v>
                </c:pt>
                <c:pt idx="16">
                  <c:v>4.400000000000006</c:v>
                </c:pt>
                <c:pt idx="17">
                  <c:v>4.300000000000006</c:v>
                </c:pt>
                <c:pt idx="18">
                  <c:v>4.200000000000006</c:v>
                </c:pt>
                <c:pt idx="19">
                  <c:v>4.100000000000007</c:v>
                </c:pt>
                <c:pt idx="20">
                  <c:v>4.000000000000007</c:v>
                </c:pt>
                <c:pt idx="21">
                  <c:v>3.900000000000007</c:v>
                </c:pt>
                <c:pt idx="22">
                  <c:v>3.800000000000007</c:v>
                </c:pt>
                <c:pt idx="23">
                  <c:v>3.700000000000007</c:v>
                </c:pt>
                <c:pt idx="24">
                  <c:v>3.6000000000000068</c:v>
                </c:pt>
                <c:pt idx="25">
                  <c:v>3.5000000000000067</c:v>
                </c:pt>
                <c:pt idx="26">
                  <c:v>3.4000000000000066</c:v>
                </c:pt>
                <c:pt idx="27">
                  <c:v>3.3000000000000065</c:v>
                </c:pt>
                <c:pt idx="28">
                  <c:v>3.2000000000000064</c:v>
                </c:pt>
                <c:pt idx="29">
                  <c:v>3.1000000000000063</c:v>
                </c:pt>
                <c:pt idx="30">
                  <c:v>3.000000000000006</c:v>
                </c:pt>
                <c:pt idx="31">
                  <c:v>2.900000000000006</c:v>
                </c:pt>
                <c:pt idx="32">
                  <c:v>2.800000000000006</c:v>
                </c:pt>
                <c:pt idx="33">
                  <c:v>2.700000000000006</c:v>
                </c:pt>
                <c:pt idx="34">
                  <c:v>2.600000000000006</c:v>
                </c:pt>
                <c:pt idx="35">
                  <c:v>2.5000000000000058</c:v>
                </c:pt>
                <c:pt idx="36">
                  <c:v>2.4000000000000057</c:v>
                </c:pt>
                <c:pt idx="37">
                  <c:v>2.3000000000000056</c:v>
                </c:pt>
                <c:pt idx="38">
                  <c:v>2.2000000000000055</c:v>
                </c:pt>
                <c:pt idx="39">
                  <c:v>2.1000000000000054</c:v>
                </c:pt>
                <c:pt idx="40">
                  <c:v>2.0000000000000053</c:v>
                </c:pt>
                <c:pt idx="41">
                  <c:v>1.9000000000000052</c:v>
                </c:pt>
                <c:pt idx="42">
                  <c:v>1.8000000000000052</c:v>
                </c:pt>
                <c:pt idx="43">
                  <c:v>1.700000000000005</c:v>
                </c:pt>
                <c:pt idx="44">
                  <c:v>1.600000000000005</c:v>
                </c:pt>
                <c:pt idx="45">
                  <c:v>1.5000000000000049</c:v>
                </c:pt>
                <c:pt idx="46">
                  <c:v>1.4000000000000048</c:v>
                </c:pt>
                <c:pt idx="47">
                  <c:v>1.3000000000000047</c:v>
                </c:pt>
                <c:pt idx="48">
                  <c:v>1.2000000000000046</c:v>
                </c:pt>
                <c:pt idx="49">
                  <c:v>1.1000000000000045</c:v>
                </c:pt>
                <c:pt idx="50">
                  <c:v>1.0000000000000044</c:v>
                </c:pt>
                <c:pt idx="51">
                  <c:v>0.9000000000000045</c:v>
                </c:pt>
                <c:pt idx="52">
                  <c:v>0.8000000000000045</c:v>
                </c:pt>
                <c:pt idx="53">
                  <c:v>0.7000000000000045</c:v>
                </c:pt>
                <c:pt idx="54">
                  <c:v>0.6000000000000045</c:v>
                </c:pt>
                <c:pt idx="55">
                  <c:v>0.5000000000000046</c:v>
                </c:pt>
                <c:pt idx="56">
                  <c:v>0.4000000000000046</c:v>
                </c:pt>
                <c:pt idx="57">
                  <c:v>0.3000000000000046</c:v>
                </c:pt>
                <c:pt idx="58">
                  <c:v>0.2000000000000046</c:v>
                </c:pt>
                <c:pt idx="59">
                  <c:v>0.10000000000000459</c:v>
                </c:pt>
                <c:pt idx="60">
                  <c:v>4.579669976578771E-15</c:v>
                </c:pt>
                <c:pt idx="61">
                  <c:v>0.10000000000000459</c:v>
                </c:pt>
                <c:pt idx="62">
                  <c:v>0.2000000000000046</c:v>
                </c:pt>
                <c:pt idx="63">
                  <c:v>0.3000000000000046</c:v>
                </c:pt>
                <c:pt idx="64">
                  <c:v>0.4000000000000046</c:v>
                </c:pt>
                <c:pt idx="65">
                  <c:v>0.5000000000000046</c:v>
                </c:pt>
                <c:pt idx="66">
                  <c:v>0.6000000000000045</c:v>
                </c:pt>
                <c:pt idx="67">
                  <c:v>0.7000000000000045</c:v>
                </c:pt>
                <c:pt idx="68">
                  <c:v>0.8000000000000045</c:v>
                </c:pt>
                <c:pt idx="69">
                  <c:v>0.9000000000000045</c:v>
                </c:pt>
                <c:pt idx="70">
                  <c:v>1.0000000000000044</c:v>
                </c:pt>
                <c:pt idx="71">
                  <c:v>1.1000000000000045</c:v>
                </c:pt>
                <c:pt idx="72">
                  <c:v>1.2000000000000046</c:v>
                </c:pt>
                <c:pt idx="73">
                  <c:v>1.3000000000000047</c:v>
                </c:pt>
                <c:pt idx="74">
                  <c:v>1.4000000000000048</c:v>
                </c:pt>
                <c:pt idx="75">
                  <c:v>1.5000000000000049</c:v>
                </c:pt>
                <c:pt idx="76">
                  <c:v>1.600000000000005</c:v>
                </c:pt>
                <c:pt idx="77">
                  <c:v>1.700000000000005</c:v>
                </c:pt>
                <c:pt idx="78">
                  <c:v>1.8000000000000052</c:v>
                </c:pt>
                <c:pt idx="79">
                  <c:v>1.9000000000000052</c:v>
                </c:pt>
                <c:pt idx="80">
                  <c:v>2.0000000000000053</c:v>
                </c:pt>
                <c:pt idx="81">
                  <c:v>2.1000000000000054</c:v>
                </c:pt>
                <c:pt idx="82">
                  <c:v>2.2000000000000055</c:v>
                </c:pt>
                <c:pt idx="83">
                  <c:v>2.3000000000000056</c:v>
                </c:pt>
                <c:pt idx="84">
                  <c:v>2.4000000000000057</c:v>
                </c:pt>
                <c:pt idx="85">
                  <c:v>2.5000000000000058</c:v>
                </c:pt>
                <c:pt idx="86">
                  <c:v>2.600000000000006</c:v>
                </c:pt>
                <c:pt idx="87">
                  <c:v>2.700000000000006</c:v>
                </c:pt>
                <c:pt idx="88">
                  <c:v>2.800000000000006</c:v>
                </c:pt>
                <c:pt idx="89">
                  <c:v>2.900000000000006</c:v>
                </c:pt>
                <c:pt idx="90">
                  <c:v>3.000000000000006</c:v>
                </c:pt>
                <c:pt idx="91">
                  <c:v>3.1000000000000063</c:v>
                </c:pt>
                <c:pt idx="92">
                  <c:v>3.2000000000000064</c:v>
                </c:pt>
                <c:pt idx="93">
                  <c:v>3.3000000000000065</c:v>
                </c:pt>
                <c:pt idx="94">
                  <c:v>3.4000000000000066</c:v>
                </c:pt>
                <c:pt idx="95">
                  <c:v>3.5000000000000067</c:v>
                </c:pt>
                <c:pt idx="96">
                  <c:v>3.6000000000000068</c:v>
                </c:pt>
                <c:pt idx="97">
                  <c:v>3.700000000000007</c:v>
                </c:pt>
                <c:pt idx="98">
                  <c:v>3.800000000000007</c:v>
                </c:pt>
                <c:pt idx="99">
                  <c:v>3.900000000000007</c:v>
                </c:pt>
                <c:pt idx="100">
                  <c:v>4.000000000000007</c:v>
                </c:pt>
                <c:pt idx="101">
                  <c:v>4.100000000000007</c:v>
                </c:pt>
                <c:pt idx="102">
                  <c:v>4.200000000000006</c:v>
                </c:pt>
                <c:pt idx="103">
                  <c:v>4.300000000000006</c:v>
                </c:pt>
                <c:pt idx="104">
                  <c:v>4.400000000000006</c:v>
                </c:pt>
                <c:pt idx="105">
                  <c:v>4.500000000000005</c:v>
                </c:pt>
                <c:pt idx="106">
                  <c:v>4.600000000000005</c:v>
                </c:pt>
                <c:pt idx="107">
                  <c:v>4.700000000000005</c:v>
                </c:pt>
                <c:pt idx="108">
                  <c:v>4.800000000000004</c:v>
                </c:pt>
                <c:pt idx="109">
                  <c:v>4.900000000000004</c:v>
                </c:pt>
                <c:pt idx="110">
                  <c:v>5.0000000000000036</c:v>
                </c:pt>
                <c:pt idx="111">
                  <c:v>5.100000000000003</c:v>
                </c:pt>
                <c:pt idx="112">
                  <c:v>5.200000000000003</c:v>
                </c:pt>
                <c:pt idx="113">
                  <c:v>5.3000000000000025</c:v>
                </c:pt>
                <c:pt idx="114">
                  <c:v>5.400000000000002</c:v>
                </c:pt>
                <c:pt idx="115">
                  <c:v>5.500000000000002</c:v>
                </c:pt>
                <c:pt idx="116">
                  <c:v>5.600000000000001</c:v>
                </c:pt>
                <c:pt idx="117">
                  <c:v>5.700000000000001</c:v>
                </c:pt>
                <c:pt idx="118">
                  <c:v>5.800000000000001</c:v>
                </c:pt>
                <c:pt idx="119">
                  <c:v>5.9</c:v>
                </c:pt>
                <c:pt idx="120">
                  <c:v>6</c:v>
                </c:pt>
              </c:numCache>
            </c:numRef>
          </c:cat>
          <c:val>
            <c:numRef>
              <c:f>'Trave su suolo elastico'!$D$17:$D$137</c:f>
              <c:numCache>
                <c:ptCount val="121"/>
                <c:pt idx="0">
                  <c:v>-157.58720779418752</c:v>
                </c:pt>
                <c:pt idx="1">
                  <c:v>-138.5342791144762</c:v>
                </c:pt>
                <c:pt idx="2">
                  <c:v>-120.83189922833523</c:v>
                </c:pt>
                <c:pt idx="3">
                  <c:v>-104.46430477665687</c:v>
                </c:pt>
                <c:pt idx="4">
                  <c:v>-89.40674144077377</c:v>
                </c:pt>
                <c:pt idx="5">
                  <c:v>-75.62667990419588</c:v>
                </c:pt>
                <c:pt idx="6">
                  <c:v>-63.084934611852766</c:v>
                </c:pt>
                <c:pt idx="7">
                  <c:v>-51.736687729014484</c:v>
                </c:pt>
                <c:pt idx="8">
                  <c:v>-41.532421197606574</c:v>
                </c:pt>
                <c:pt idx="9">
                  <c:v>-32.418760207096774</c:v>
                </c:pt>
                <c:pt idx="10">
                  <c:v>-24.339231747321232</c:v>
                </c:pt>
                <c:pt idx="11">
                  <c:v>-17.23494219811834</c:v>
                </c:pt>
                <c:pt idx="12">
                  <c:v>-11.045178141751247</c:v>
                </c:pt>
                <c:pt idx="13">
                  <c:v>-5.707934764832711</c:v>
                </c:pt>
                <c:pt idx="14">
                  <c:v>-1.1603763525238775</c:v>
                </c:pt>
                <c:pt idx="15">
                  <c:v>2.660766525467003</c:v>
                </c:pt>
                <c:pt idx="16">
                  <c:v>5.818858475063172</c:v>
                </c:pt>
                <c:pt idx="17">
                  <c:v>8.377074689213543</c:v>
                </c:pt>
                <c:pt idx="18">
                  <c:v>10.398165607804414</c:v>
                </c:pt>
                <c:pt idx="19">
                  <c:v>11.944266136848443</c:v>
                </c:pt>
                <c:pt idx="20">
                  <c:v>13.076744768707096</c:v>
                </c:pt>
                <c:pt idx="21">
                  <c:v>13.85608799032506</c:v>
                </c:pt>
                <c:pt idx="22">
                  <c:v>14.341815422942176</c:v>
                </c:pt>
                <c:pt idx="23">
                  <c:v>14.59242120187581</c:v>
                </c:pt>
                <c:pt idx="24">
                  <c:v>14.66533717645322</c:v>
                </c:pt>
                <c:pt idx="25">
                  <c:v>14.616913586068359</c:v>
                </c:pt>
                <c:pt idx="26">
                  <c:v>14.502412947019138</c:v>
                </c:pt>
                <c:pt idx="27">
                  <c:v>14.376012964951336</c:v>
                </c:pt>
                <c:pt idx="28">
                  <c:v>14.290814368411064</c:v>
                </c:pt>
                <c:pt idx="29">
                  <c:v>14.298849639517648</c:v>
                </c:pt>
                <c:pt idx="30">
                  <c:v>14.451088697747418</c:v>
                </c:pt>
                <c:pt idx="31">
                  <c:v>14.79743767219715</c:v>
                </c:pt>
                <c:pt idx="32">
                  <c:v>15.386726976700364</c:v>
                </c:pt>
                <c:pt idx="33">
                  <c:v>16.266684981312054</c:v>
                </c:pt>
                <c:pt idx="34">
                  <c:v>17.48389365375124</c:v>
                </c:pt>
                <c:pt idx="35">
                  <c:v>19.083722626465025</c:v>
                </c:pt>
                <c:pt idx="36">
                  <c:v>21.110238230390653</c:v>
                </c:pt>
                <c:pt idx="37">
                  <c:v>23.606084126844596</c:v>
                </c:pt>
                <c:pt idx="38">
                  <c:v>26.61233026611801</c:v>
                </c:pt>
                <c:pt idx="39">
                  <c:v>30.168287007415014</c:v>
                </c:pt>
                <c:pt idx="40">
                  <c:v>34.31128135208378</c:v>
                </c:pt>
                <c:pt idx="41">
                  <c:v>39.0763923732483</c:v>
                </c:pt>
                <c:pt idx="42">
                  <c:v>44.49614307276181</c:v>
                </c:pt>
                <c:pt idx="43">
                  <c:v>50.6001460639004</c:v>
                </c:pt>
                <c:pt idx="44">
                  <c:v>57.41470066863172</c:v>
                </c:pt>
                <c:pt idx="45">
                  <c:v>64.96233923505596</c:v>
                </c:pt>
                <c:pt idx="46">
                  <c:v>73.26132072732939</c:v>
                </c:pt>
                <c:pt idx="47">
                  <c:v>82.32506992081504</c:v>
                </c:pt>
                <c:pt idx="48">
                  <c:v>92.16156085327107</c:v>
                </c:pt>
                <c:pt idx="49">
                  <c:v>102.77264354262304</c:v>
                </c:pt>
                <c:pt idx="50">
                  <c:v>114.153313387406</c:v>
                </c:pt>
                <c:pt idx="51">
                  <c:v>126.29092312151506</c:v>
                </c:pt>
                <c:pt idx="52">
                  <c:v>139.16433770472307</c:v>
                </c:pt>
                <c:pt idx="53">
                  <c:v>152.74303309876316</c:v>
                </c:pt>
                <c:pt idx="54">
                  <c:v>166.98614050987823</c:v>
                </c:pt>
                <c:pt idx="55">
                  <c:v>181.8414383767495</c:v>
                </c:pt>
                <c:pt idx="56">
                  <c:v>197.24429515169527</c:v>
                </c:pt>
                <c:pt idx="57">
                  <c:v>213.11656676682813</c:v>
                </c:pt>
                <c:pt idx="58">
                  <c:v>229.3654535991403</c:v>
                </c:pt>
                <c:pt idx="59">
                  <c:v>245.88232275258719</c:v>
                </c:pt>
                <c:pt idx="60">
                  <c:v>-262.54150256417097</c:v>
                </c:pt>
                <c:pt idx="61">
                  <c:v>-245.88232275258719</c:v>
                </c:pt>
                <c:pt idx="62">
                  <c:v>-229.3654535991403</c:v>
                </c:pt>
                <c:pt idx="63">
                  <c:v>-213.11656676682813</c:v>
                </c:pt>
                <c:pt idx="64">
                  <c:v>-197.24429515169527</c:v>
                </c:pt>
                <c:pt idx="65">
                  <c:v>-181.8414383767495</c:v>
                </c:pt>
                <c:pt idx="66">
                  <c:v>-166.98614050987823</c:v>
                </c:pt>
                <c:pt idx="67">
                  <c:v>-152.74303309876316</c:v>
                </c:pt>
                <c:pt idx="68">
                  <c:v>-139.16433770472307</c:v>
                </c:pt>
                <c:pt idx="69">
                  <c:v>-126.29092312151506</c:v>
                </c:pt>
                <c:pt idx="70">
                  <c:v>-114.153313387406</c:v>
                </c:pt>
                <c:pt idx="71">
                  <c:v>-102.77264354262304</c:v>
                </c:pt>
                <c:pt idx="72">
                  <c:v>-92.16156085327107</c:v>
                </c:pt>
                <c:pt idx="73">
                  <c:v>-82.32506992081504</c:v>
                </c:pt>
                <c:pt idx="74">
                  <c:v>-73.26132072732939</c:v>
                </c:pt>
                <c:pt idx="75">
                  <c:v>-64.96233923505596</c:v>
                </c:pt>
                <c:pt idx="76">
                  <c:v>-57.41470066863172</c:v>
                </c:pt>
                <c:pt idx="77">
                  <c:v>-50.6001460639004</c:v>
                </c:pt>
                <c:pt idx="78">
                  <c:v>-44.49614307276181</c:v>
                </c:pt>
                <c:pt idx="79">
                  <c:v>-39.0763923732483</c:v>
                </c:pt>
                <c:pt idx="80">
                  <c:v>-34.31128135208378</c:v>
                </c:pt>
                <c:pt idx="81">
                  <c:v>-30.168287007415014</c:v>
                </c:pt>
                <c:pt idx="82">
                  <c:v>-26.61233026611801</c:v>
                </c:pt>
                <c:pt idx="83">
                  <c:v>-23.606084126844596</c:v>
                </c:pt>
                <c:pt idx="84">
                  <c:v>-21.110238230390653</c:v>
                </c:pt>
                <c:pt idx="85">
                  <c:v>-19.083722626465025</c:v>
                </c:pt>
                <c:pt idx="86">
                  <c:v>-17.48389365375124</c:v>
                </c:pt>
                <c:pt idx="87">
                  <c:v>-16.266684981312054</c:v>
                </c:pt>
                <c:pt idx="88">
                  <c:v>-15.386726976700364</c:v>
                </c:pt>
                <c:pt idx="89">
                  <c:v>-14.79743767219715</c:v>
                </c:pt>
                <c:pt idx="90">
                  <c:v>-14.451088697747418</c:v>
                </c:pt>
                <c:pt idx="91">
                  <c:v>-14.298849639517648</c:v>
                </c:pt>
                <c:pt idx="92">
                  <c:v>-14.290814368411064</c:v>
                </c:pt>
                <c:pt idx="93">
                  <c:v>-14.376012964951336</c:v>
                </c:pt>
                <c:pt idx="94">
                  <c:v>-14.502412947019138</c:v>
                </c:pt>
                <c:pt idx="95">
                  <c:v>-14.616913586068359</c:v>
                </c:pt>
                <c:pt idx="96">
                  <c:v>-14.66533717645322</c:v>
                </c:pt>
                <c:pt idx="97">
                  <c:v>-14.59242120187581</c:v>
                </c:pt>
                <c:pt idx="98">
                  <c:v>-14.341815422942176</c:v>
                </c:pt>
                <c:pt idx="99">
                  <c:v>-13.85608799032506</c:v>
                </c:pt>
                <c:pt idx="100">
                  <c:v>-13.076744768707096</c:v>
                </c:pt>
                <c:pt idx="101">
                  <c:v>-11.944266136848443</c:v>
                </c:pt>
                <c:pt idx="102">
                  <c:v>-10.398165607804414</c:v>
                </c:pt>
                <c:pt idx="103">
                  <c:v>-8.377074689213543</c:v>
                </c:pt>
                <c:pt idx="104">
                  <c:v>-5.818858475063172</c:v>
                </c:pt>
                <c:pt idx="105">
                  <c:v>-2.660766525467003</c:v>
                </c:pt>
                <c:pt idx="106">
                  <c:v>1.1603763525238775</c:v>
                </c:pt>
                <c:pt idx="107">
                  <c:v>5.707934764832711</c:v>
                </c:pt>
                <c:pt idx="108">
                  <c:v>11.045178141751247</c:v>
                </c:pt>
                <c:pt idx="109">
                  <c:v>17.23494219811834</c:v>
                </c:pt>
                <c:pt idx="110">
                  <c:v>24.339231747321232</c:v>
                </c:pt>
                <c:pt idx="111">
                  <c:v>32.418760207096774</c:v>
                </c:pt>
                <c:pt idx="112">
                  <c:v>41.532421197606574</c:v>
                </c:pt>
                <c:pt idx="113">
                  <c:v>51.736687729014484</c:v>
                </c:pt>
                <c:pt idx="114">
                  <c:v>63.084934611852766</c:v>
                </c:pt>
                <c:pt idx="115">
                  <c:v>75.62667990419588</c:v>
                </c:pt>
                <c:pt idx="116">
                  <c:v>89.40674144077377</c:v>
                </c:pt>
                <c:pt idx="117">
                  <c:v>104.46430477665687</c:v>
                </c:pt>
                <c:pt idx="118">
                  <c:v>120.83189922833523</c:v>
                </c:pt>
                <c:pt idx="119">
                  <c:v>138.5342791144762</c:v>
                </c:pt>
                <c:pt idx="120">
                  <c:v>157.58720779418752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8080"/>
              </a:solidFill>
            </a:ln>
          </c:spPr>
        </c:dropLines>
        <c:marker val="1"/>
        <c:axId val="34575041"/>
        <c:axId val="42739914"/>
      </c:lineChart>
      <c:catAx>
        <c:axId val="3457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Ascissa x ( m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39914"/>
        <c:crosses val="autoZero"/>
        <c:auto val="1"/>
        <c:lblOffset val="100"/>
        <c:noMultiLvlLbl val="0"/>
      </c:catAx>
      <c:valAx>
        <c:axId val="4273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Taglio ( kN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cross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'Trave su suolo elastico'!$C$15:$C$16</c:f>
              <c:strCache>
                <c:ptCount val="1"/>
                <c:pt idx="0">
                  <c:v>Momento kNm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'Trave su suolo elastico'!$A$17:$A$137</c:f>
              <c:numCache>
                <c:ptCount val="121"/>
                <c:pt idx="0">
                  <c:v>6</c:v>
                </c:pt>
                <c:pt idx="1">
                  <c:v>5.9</c:v>
                </c:pt>
                <c:pt idx="2">
                  <c:v>5.800000000000001</c:v>
                </c:pt>
                <c:pt idx="3">
                  <c:v>5.700000000000001</c:v>
                </c:pt>
                <c:pt idx="4">
                  <c:v>5.600000000000001</c:v>
                </c:pt>
                <c:pt idx="5">
                  <c:v>5.500000000000002</c:v>
                </c:pt>
                <c:pt idx="6">
                  <c:v>5.400000000000002</c:v>
                </c:pt>
                <c:pt idx="7">
                  <c:v>5.3000000000000025</c:v>
                </c:pt>
                <c:pt idx="8">
                  <c:v>5.200000000000003</c:v>
                </c:pt>
                <c:pt idx="9">
                  <c:v>5.100000000000003</c:v>
                </c:pt>
                <c:pt idx="10">
                  <c:v>5.0000000000000036</c:v>
                </c:pt>
                <c:pt idx="11">
                  <c:v>4.900000000000004</c:v>
                </c:pt>
                <c:pt idx="12">
                  <c:v>4.800000000000004</c:v>
                </c:pt>
                <c:pt idx="13">
                  <c:v>4.700000000000005</c:v>
                </c:pt>
                <c:pt idx="14">
                  <c:v>4.600000000000005</c:v>
                </c:pt>
                <c:pt idx="15">
                  <c:v>4.500000000000005</c:v>
                </c:pt>
                <c:pt idx="16">
                  <c:v>4.400000000000006</c:v>
                </c:pt>
                <c:pt idx="17">
                  <c:v>4.300000000000006</c:v>
                </c:pt>
                <c:pt idx="18">
                  <c:v>4.200000000000006</c:v>
                </c:pt>
                <c:pt idx="19">
                  <c:v>4.100000000000007</c:v>
                </c:pt>
                <c:pt idx="20">
                  <c:v>4.000000000000007</c:v>
                </c:pt>
                <c:pt idx="21">
                  <c:v>3.900000000000007</c:v>
                </c:pt>
                <c:pt idx="22">
                  <c:v>3.800000000000007</c:v>
                </c:pt>
                <c:pt idx="23">
                  <c:v>3.700000000000007</c:v>
                </c:pt>
                <c:pt idx="24">
                  <c:v>3.6000000000000068</c:v>
                </c:pt>
                <c:pt idx="25">
                  <c:v>3.5000000000000067</c:v>
                </c:pt>
                <c:pt idx="26">
                  <c:v>3.4000000000000066</c:v>
                </c:pt>
                <c:pt idx="27">
                  <c:v>3.3000000000000065</c:v>
                </c:pt>
                <c:pt idx="28">
                  <c:v>3.2000000000000064</c:v>
                </c:pt>
                <c:pt idx="29">
                  <c:v>3.1000000000000063</c:v>
                </c:pt>
                <c:pt idx="30">
                  <c:v>3.000000000000006</c:v>
                </c:pt>
                <c:pt idx="31">
                  <c:v>2.900000000000006</c:v>
                </c:pt>
                <c:pt idx="32">
                  <c:v>2.800000000000006</c:v>
                </c:pt>
                <c:pt idx="33">
                  <c:v>2.700000000000006</c:v>
                </c:pt>
                <c:pt idx="34">
                  <c:v>2.600000000000006</c:v>
                </c:pt>
                <c:pt idx="35">
                  <c:v>2.5000000000000058</c:v>
                </c:pt>
                <c:pt idx="36">
                  <c:v>2.4000000000000057</c:v>
                </c:pt>
                <c:pt idx="37">
                  <c:v>2.3000000000000056</c:v>
                </c:pt>
                <c:pt idx="38">
                  <c:v>2.2000000000000055</c:v>
                </c:pt>
                <c:pt idx="39">
                  <c:v>2.1000000000000054</c:v>
                </c:pt>
                <c:pt idx="40">
                  <c:v>2.0000000000000053</c:v>
                </c:pt>
                <c:pt idx="41">
                  <c:v>1.9000000000000052</c:v>
                </c:pt>
                <c:pt idx="42">
                  <c:v>1.8000000000000052</c:v>
                </c:pt>
                <c:pt idx="43">
                  <c:v>1.700000000000005</c:v>
                </c:pt>
                <c:pt idx="44">
                  <c:v>1.600000000000005</c:v>
                </c:pt>
                <c:pt idx="45">
                  <c:v>1.5000000000000049</c:v>
                </c:pt>
                <c:pt idx="46">
                  <c:v>1.4000000000000048</c:v>
                </c:pt>
                <c:pt idx="47">
                  <c:v>1.3000000000000047</c:v>
                </c:pt>
                <c:pt idx="48">
                  <c:v>1.2000000000000046</c:v>
                </c:pt>
                <c:pt idx="49">
                  <c:v>1.1000000000000045</c:v>
                </c:pt>
                <c:pt idx="50">
                  <c:v>1.0000000000000044</c:v>
                </c:pt>
                <c:pt idx="51">
                  <c:v>0.9000000000000045</c:v>
                </c:pt>
                <c:pt idx="52">
                  <c:v>0.8000000000000045</c:v>
                </c:pt>
                <c:pt idx="53">
                  <c:v>0.7000000000000045</c:v>
                </c:pt>
                <c:pt idx="54">
                  <c:v>0.6000000000000045</c:v>
                </c:pt>
                <c:pt idx="55">
                  <c:v>0.5000000000000046</c:v>
                </c:pt>
                <c:pt idx="56">
                  <c:v>0.4000000000000046</c:v>
                </c:pt>
                <c:pt idx="57">
                  <c:v>0.3000000000000046</c:v>
                </c:pt>
                <c:pt idx="58">
                  <c:v>0.2000000000000046</c:v>
                </c:pt>
                <c:pt idx="59">
                  <c:v>0.10000000000000459</c:v>
                </c:pt>
                <c:pt idx="60">
                  <c:v>4.579669976578771E-15</c:v>
                </c:pt>
                <c:pt idx="61">
                  <c:v>0.10000000000000459</c:v>
                </c:pt>
                <c:pt idx="62">
                  <c:v>0.2000000000000046</c:v>
                </c:pt>
                <c:pt idx="63">
                  <c:v>0.3000000000000046</c:v>
                </c:pt>
                <c:pt idx="64">
                  <c:v>0.4000000000000046</c:v>
                </c:pt>
                <c:pt idx="65">
                  <c:v>0.5000000000000046</c:v>
                </c:pt>
                <c:pt idx="66">
                  <c:v>0.6000000000000045</c:v>
                </c:pt>
                <c:pt idx="67">
                  <c:v>0.7000000000000045</c:v>
                </c:pt>
                <c:pt idx="68">
                  <c:v>0.8000000000000045</c:v>
                </c:pt>
                <c:pt idx="69">
                  <c:v>0.9000000000000045</c:v>
                </c:pt>
                <c:pt idx="70">
                  <c:v>1.0000000000000044</c:v>
                </c:pt>
                <c:pt idx="71">
                  <c:v>1.1000000000000045</c:v>
                </c:pt>
                <c:pt idx="72">
                  <c:v>1.2000000000000046</c:v>
                </c:pt>
                <c:pt idx="73">
                  <c:v>1.3000000000000047</c:v>
                </c:pt>
                <c:pt idx="74">
                  <c:v>1.4000000000000048</c:v>
                </c:pt>
                <c:pt idx="75">
                  <c:v>1.5000000000000049</c:v>
                </c:pt>
                <c:pt idx="76">
                  <c:v>1.600000000000005</c:v>
                </c:pt>
                <c:pt idx="77">
                  <c:v>1.700000000000005</c:v>
                </c:pt>
                <c:pt idx="78">
                  <c:v>1.8000000000000052</c:v>
                </c:pt>
                <c:pt idx="79">
                  <c:v>1.9000000000000052</c:v>
                </c:pt>
                <c:pt idx="80">
                  <c:v>2.0000000000000053</c:v>
                </c:pt>
                <c:pt idx="81">
                  <c:v>2.1000000000000054</c:v>
                </c:pt>
                <c:pt idx="82">
                  <c:v>2.2000000000000055</c:v>
                </c:pt>
                <c:pt idx="83">
                  <c:v>2.3000000000000056</c:v>
                </c:pt>
                <c:pt idx="84">
                  <c:v>2.4000000000000057</c:v>
                </c:pt>
                <c:pt idx="85">
                  <c:v>2.5000000000000058</c:v>
                </c:pt>
                <c:pt idx="86">
                  <c:v>2.600000000000006</c:v>
                </c:pt>
                <c:pt idx="87">
                  <c:v>2.700000000000006</c:v>
                </c:pt>
                <c:pt idx="88">
                  <c:v>2.800000000000006</c:v>
                </c:pt>
                <c:pt idx="89">
                  <c:v>2.900000000000006</c:v>
                </c:pt>
                <c:pt idx="90">
                  <c:v>3.000000000000006</c:v>
                </c:pt>
                <c:pt idx="91">
                  <c:v>3.1000000000000063</c:v>
                </c:pt>
                <c:pt idx="92">
                  <c:v>3.2000000000000064</c:v>
                </c:pt>
                <c:pt idx="93">
                  <c:v>3.3000000000000065</c:v>
                </c:pt>
                <c:pt idx="94">
                  <c:v>3.4000000000000066</c:v>
                </c:pt>
                <c:pt idx="95">
                  <c:v>3.5000000000000067</c:v>
                </c:pt>
                <c:pt idx="96">
                  <c:v>3.6000000000000068</c:v>
                </c:pt>
                <c:pt idx="97">
                  <c:v>3.700000000000007</c:v>
                </c:pt>
                <c:pt idx="98">
                  <c:v>3.800000000000007</c:v>
                </c:pt>
                <c:pt idx="99">
                  <c:v>3.900000000000007</c:v>
                </c:pt>
                <c:pt idx="100">
                  <c:v>4.000000000000007</c:v>
                </c:pt>
                <c:pt idx="101">
                  <c:v>4.100000000000007</c:v>
                </c:pt>
                <c:pt idx="102">
                  <c:v>4.200000000000006</c:v>
                </c:pt>
                <c:pt idx="103">
                  <c:v>4.300000000000006</c:v>
                </c:pt>
                <c:pt idx="104">
                  <c:v>4.400000000000006</c:v>
                </c:pt>
                <c:pt idx="105">
                  <c:v>4.500000000000005</c:v>
                </c:pt>
                <c:pt idx="106">
                  <c:v>4.600000000000005</c:v>
                </c:pt>
                <c:pt idx="107">
                  <c:v>4.700000000000005</c:v>
                </c:pt>
                <c:pt idx="108">
                  <c:v>4.800000000000004</c:v>
                </c:pt>
                <c:pt idx="109">
                  <c:v>4.900000000000004</c:v>
                </c:pt>
                <c:pt idx="110">
                  <c:v>5.0000000000000036</c:v>
                </c:pt>
                <c:pt idx="111">
                  <c:v>5.100000000000003</c:v>
                </c:pt>
                <c:pt idx="112">
                  <c:v>5.200000000000003</c:v>
                </c:pt>
                <c:pt idx="113">
                  <c:v>5.3000000000000025</c:v>
                </c:pt>
                <c:pt idx="114">
                  <c:v>5.400000000000002</c:v>
                </c:pt>
                <c:pt idx="115">
                  <c:v>5.500000000000002</c:v>
                </c:pt>
                <c:pt idx="116">
                  <c:v>5.600000000000001</c:v>
                </c:pt>
                <c:pt idx="117">
                  <c:v>5.700000000000001</c:v>
                </c:pt>
                <c:pt idx="118">
                  <c:v>5.800000000000001</c:v>
                </c:pt>
                <c:pt idx="119">
                  <c:v>5.9</c:v>
                </c:pt>
                <c:pt idx="120">
                  <c:v>6</c:v>
                </c:pt>
              </c:numCache>
            </c:numRef>
          </c:cat>
          <c:val>
            <c:numRef>
              <c:f>'Trave su suolo elastico'!$C$17:$C$137</c:f>
              <c:numCache>
                <c:ptCount val="121"/>
                <c:pt idx="0">
                  <c:v>0.04952267790261338</c:v>
                </c:pt>
                <c:pt idx="1">
                  <c:v>-14.745257560561539</c:v>
                </c:pt>
                <c:pt idx="2">
                  <c:v>-27.70236287589724</c:v>
                </c:pt>
                <c:pt idx="3">
                  <c:v>-38.956140230886824</c:v>
                </c:pt>
                <c:pt idx="4">
                  <c:v>-48.638900161105674</c:v>
                </c:pt>
                <c:pt idx="5">
                  <c:v>-56.88007929562254</c:v>
                </c:pt>
                <c:pt idx="6">
                  <c:v>-63.805519596009525</c:v>
                </c:pt>
                <c:pt idx="7">
                  <c:v>-69.53685470905556</c:v>
                </c:pt>
                <c:pt idx="8">
                  <c:v>-74.19099409423555</c:v>
                </c:pt>
                <c:pt idx="9">
                  <c:v>-77.87969589833673</c:v>
                </c:pt>
                <c:pt idx="10">
                  <c:v>-80.70921989941999</c:v>
                </c:pt>
                <c:pt idx="11">
                  <c:v>-82.78005222390317</c:v>
                </c:pt>
                <c:pt idx="12">
                  <c:v>-84.1866939480378</c:v>
                </c:pt>
                <c:pt idx="13">
                  <c:v>-85.0175061230835</c:v>
                </c:pt>
                <c:pt idx="14">
                  <c:v>-85.35460420730595</c:v>
                </c:pt>
                <c:pt idx="15">
                  <c:v>-85.27379534334636</c:v>
                </c:pt>
                <c:pt idx="16">
                  <c:v>-84.84455238285278</c:v>
                </c:pt>
                <c:pt idx="17">
                  <c:v>-84.13001902834063</c:v>
                </c:pt>
                <c:pt idx="18">
                  <c:v>-83.18704093232522</c:v>
                </c:pt>
                <c:pt idx="19">
                  <c:v>-82.06621806352736</c:v>
                </c:pt>
                <c:pt idx="20">
                  <c:v>-80.8119741174587</c:v>
                </c:pt>
                <c:pt idx="21">
                  <c:v>-79.46263921236265</c:v>
                </c:pt>
                <c:pt idx="22">
                  <c:v>-78.05054257004686</c:v>
                </c:pt>
                <c:pt idx="23">
                  <c:v>-76.60211233360248</c:v>
                </c:pt>
                <c:pt idx="24">
                  <c:v>-75.13798011961558</c:v>
                </c:pt>
                <c:pt idx="25">
                  <c:v>-73.67308834070379</c:v>
                </c:pt>
                <c:pt idx="26">
                  <c:v>-72.21679876469625</c:v>
                </c:pt>
                <c:pt idx="27">
                  <c:v>-70.77300119930898</c:v>
                </c:pt>
                <c:pt idx="28">
                  <c:v>-69.34022160565254</c:v>
                </c:pt>
                <c:pt idx="29">
                  <c:v>-67.9117293503292</c:v>
                </c:pt>
                <c:pt idx="30">
                  <c:v>-66.47564370427217</c:v>
                </c:pt>
                <c:pt idx="31">
                  <c:v>-65.01504008690674</c:v>
                </c:pt>
                <c:pt idx="32">
                  <c:v>-63.508056936724465</c:v>
                </c:pt>
                <c:pt idx="33">
                  <c:v>-61.92800446397149</c:v>
                </c:pt>
                <c:pt idx="34">
                  <c:v>-60.24347690780837</c:v>
                </c:pt>
                <c:pt idx="35">
                  <c:v>-58.41847027885811</c:v>
                </c:pt>
                <c:pt idx="36">
                  <c:v>-56.412507918256004</c:v>
                </c:pt>
                <c:pt idx="37">
                  <c:v>-54.18077654573855</c:v>
                </c:pt>
                <c:pt idx="38">
                  <c:v>-51.674275801372694</c:v>
                </c:pt>
                <c:pt idx="39">
                  <c:v>-48.839984607450155</c:v>
                </c:pt>
                <c:pt idx="40">
                  <c:v>-45.621047987846225</c:v>
                </c:pt>
                <c:pt idx="41">
                  <c:v>-41.95698828051591</c:v>
                </c:pt>
                <c:pt idx="42">
                  <c:v>-37.78394496325087</c:v>
                </c:pt>
                <c:pt idx="43">
                  <c:v>-33.03494758152983</c:v>
                </c:pt>
                <c:pt idx="44">
                  <c:v>-27.64022651813805</c:v>
                </c:pt>
                <c:pt idx="45">
                  <c:v>-21.52756657474416</c:v>
                </c:pt>
                <c:pt idx="46">
                  <c:v>-14.622708542991832</c:v>
                </c:pt>
                <c:pt idx="47">
                  <c:v>-6.849804123708706</c:v>
                </c:pt>
                <c:pt idx="48">
                  <c:v>1.868070296012479</c:v>
                </c:pt>
                <c:pt idx="49">
                  <c:v>11.60833538081018</c:v>
                </c:pt>
                <c:pt idx="50">
                  <c:v>22.448260394008063</c:v>
                </c:pt>
                <c:pt idx="51">
                  <c:v>34.464238811360396</c:v>
                </c:pt>
                <c:pt idx="52">
                  <c:v>47.730982271606834</c:v>
                </c:pt>
                <c:pt idx="53">
                  <c:v>62.32062719991127</c:v>
                </c:pt>
                <c:pt idx="54">
                  <c:v>78.30174856625553</c:v>
                </c:pt>
                <c:pt idx="55">
                  <c:v>95.73827543327312</c:v>
                </c:pt>
                <c:pt idx="56">
                  <c:v>114.68830321374163</c:v>
                </c:pt>
                <c:pt idx="57">
                  <c:v>135.2027979042921</c:v>
                </c:pt>
                <c:pt idx="58">
                  <c:v>157.32418799650753</c:v>
                </c:pt>
                <c:pt idx="59">
                  <c:v>181.08484029749073</c:v>
                </c:pt>
                <c:pt idx="60">
                  <c:v>206.50541652751556</c:v>
                </c:pt>
                <c:pt idx="61">
                  <c:v>181.08484029749073</c:v>
                </c:pt>
                <c:pt idx="62">
                  <c:v>157.32418799650753</c:v>
                </c:pt>
                <c:pt idx="63">
                  <c:v>135.2027979042921</c:v>
                </c:pt>
                <c:pt idx="64">
                  <c:v>114.68830321374163</c:v>
                </c:pt>
                <c:pt idx="65">
                  <c:v>95.73827543327312</c:v>
                </c:pt>
                <c:pt idx="66">
                  <c:v>78.30174856625553</c:v>
                </c:pt>
                <c:pt idx="67">
                  <c:v>62.32062719991127</c:v>
                </c:pt>
                <c:pt idx="68">
                  <c:v>47.730982271606834</c:v>
                </c:pt>
                <c:pt idx="69">
                  <c:v>34.464238811360396</c:v>
                </c:pt>
                <c:pt idx="70">
                  <c:v>22.448260394008063</c:v>
                </c:pt>
                <c:pt idx="71">
                  <c:v>11.60833538081018</c:v>
                </c:pt>
                <c:pt idx="72">
                  <c:v>1.868070296012479</c:v>
                </c:pt>
                <c:pt idx="73">
                  <c:v>-6.849804123708706</c:v>
                </c:pt>
                <c:pt idx="74">
                  <c:v>-14.622708542991832</c:v>
                </c:pt>
                <c:pt idx="75">
                  <c:v>-21.52756657474416</c:v>
                </c:pt>
                <c:pt idx="76">
                  <c:v>-27.64022651813805</c:v>
                </c:pt>
                <c:pt idx="77">
                  <c:v>-33.03494758152983</c:v>
                </c:pt>
                <c:pt idx="78">
                  <c:v>-37.78394496325087</c:v>
                </c:pt>
                <c:pt idx="79">
                  <c:v>-41.95698828051591</c:v>
                </c:pt>
                <c:pt idx="80">
                  <c:v>-45.621047987846225</c:v>
                </c:pt>
                <c:pt idx="81">
                  <c:v>-48.839984607450155</c:v>
                </c:pt>
                <c:pt idx="82">
                  <c:v>-51.674275801372694</c:v>
                </c:pt>
                <c:pt idx="83">
                  <c:v>-54.18077654573855</c:v>
                </c:pt>
                <c:pt idx="84">
                  <c:v>-56.412507918256004</c:v>
                </c:pt>
                <c:pt idx="85">
                  <c:v>-58.41847027885811</c:v>
                </c:pt>
                <c:pt idx="86">
                  <c:v>-60.24347690780837</c:v>
                </c:pt>
                <c:pt idx="87">
                  <c:v>-61.92800446397149</c:v>
                </c:pt>
                <c:pt idx="88">
                  <c:v>-63.508056936724465</c:v>
                </c:pt>
                <c:pt idx="89">
                  <c:v>-65.01504008690674</c:v>
                </c:pt>
                <c:pt idx="90">
                  <c:v>-66.47564370427217</c:v>
                </c:pt>
                <c:pt idx="91">
                  <c:v>-67.9117293503292</c:v>
                </c:pt>
                <c:pt idx="92">
                  <c:v>-69.34022160565254</c:v>
                </c:pt>
                <c:pt idx="93">
                  <c:v>-70.77300119930898</c:v>
                </c:pt>
                <c:pt idx="94">
                  <c:v>-72.21679876469625</c:v>
                </c:pt>
                <c:pt idx="95">
                  <c:v>-73.67308834070379</c:v>
                </c:pt>
                <c:pt idx="96">
                  <c:v>-75.13798011961558</c:v>
                </c:pt>
                <c:pt idx="97">
                  <c:v>-76.60211233360248</c:v>
                </c:pt>
                <c:pt idx="98">
                  <c:v>-78.05054257004686</c:v>
                </c:pt>
                <c:pt idx="99">
                  <c:v>-79.46263921236265</c:v>
                </c:pt>
                <c:pt idx="100">
                  <c:v>-80.8119741174587</c:v>
                </c:pt>
                <c:pt idx="101">
                  <c:v>-82.06621806352736</c:v>
                </c:pt>
                <c:pt idx="102">
                  <c:v>-83.18704093232522</c:v>
                </c:pt>
                <c:pt idx="103">
                  <c:v>-84.13001902834063</c:v>
                </c:pt>
                <c:pt idx="104">
                  <c:v>-84.84455238285278</c:v>
                </c:pt>
                <c:pt idx="105">
                  <c:v>-85.27379534334636</c:v>
                </c:pt>
                <c:pt idx="106">
                  <c:v>-85.35460420730595</c:v>
                </c:pt>
                <c:pt idx="107">
                  <c:v>-85.0175061230835</c:v>
                </c:pt>
                <c:pt idx="108">
                  <c:v>-84.1866939480378</c:v>
                </c:pt>
                <c:pt idx="109">
                  <c:v>-82.78005222390317</c:v>
                </c:pt>
                <c:pt idx="110">
                  <c:v>-80.70921989941999</c:v>
                </c:pt>
                <c:pt idx="111">
                  <c:v>-77.87969589833673</c:v>
                </c:pt>
                <c:pt idx="112">
                  <c:v>-74.19099409423555</c:v>
                </c:pt>
                <c:pt idx="113">
                  <c:v>-69.53685470905556</c:v>
                </c:pt>
                <c:pt idx="114">
                  <c:v>-63.805519596009525</c:v>
                </c:pt>
                <c:pt idx="115">
                  <c:v>-56.88007929562254</c:v>
                </c:pt>
                <c:pt idx="116">
                  <c:v>-48.638900161105674</c:v>
                </c:pt>
                <c:pt idx="117">
                  <c:v>-38.956140230886824</c:v>
                </c:pt>
                <c:pt idx="118">
                  <c:v>-27.70236287589724</c:v>
                </c:pt>
                <c:pt idx="119">
                  <c:v>-14.745257560561539</c:v>
                </c:pt>
                <c:pt idx="120">
                  <c:v>0.04952267790261338</c:v>
                </c:pt>
              </c:numCache>
            </c:numRef>
          </c:val>
          <c:smooth val="0"/>
        </c:ser>
        <c:dropLines>
          <c:spPr>
            <a:ln w="3175">
              <a:solidFill>
                <a:srgbClr val="FF8080"/>
              </a:solidFill>
            </a:ln>
          </c:spPr>
        </c:dropLines>
        <c:marker val="1"/>
        <c:axId val="49114907"/>
        <c:axId val="39380980"/>
      </c:lineChart>
      <c:catAx>
        <c:axId val="491149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Ascissa x ( m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 val="autoZero"/>
        <c:auto val="1"/>
        <c:lblOffset val="100"/>
        <c:noMultiLvlLbl val="0"/>
      </c:catAx>
      <c:valAx>
        <c:axId val="3938098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Momento flettente ( kNm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cross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'Trave su suolo elastico'!$E$15:$E$16</c:f>
              <c:strCache>
                <c:ptCount val="1"/>
                <c:pt idx="0">
                  <c:v>Azione assiale kN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'Trave su suolo elastico'!$A$17:$A$77</c:f>
              <c:numCache>
                <c:ptCount val="61"/>
                <c:pt idx="0">
                  <c:v>6</c:v>
                </c:pt>
                <c:pt idx="1">
                  <c:v>5.9</c:v>
                </c:pt>
                <c:pt idx="2">
                  <c:v>5.800000000000001</c:v>
                </c:pt>
                <c:pt idx="3">
                  <c:v>5.700000000000001</c:v>
                </c:pt>
                <c:pt idx="4">
                  <c:v>5.600000000000001</c:v>
                </c:pt>
                <c:pt idx="5">
                  <c:v>5.500000000000002</c:v>
                </c:pt>
                <c:pt idx="6">
                  <c:v>5.400000000000002</c:v>
                </c:pt>
                <c:pt idx="7">
                  <c:v>5.3000000000000025</c:v>
                </c:pt>
                <c:pt idx="8">
                  <c:v>5.200000000000003</c:v>
                </c:pt>
                <c:pt idx="9">
                  <c:v>5.100000000000003</c:v>
                </c:pt>
                <c:pt idx="10">
                  <c:v>5.0000000000000036</c:v>
                </c:pt>
                <c:pt idx="11">
                  <c:v>4.900000000000004</c:v>
                </c:pt>
                <c:pt idx="12">
                  <c:v>4.800000000000004</c:v>
                </c:pt>
                <c:pt idx="13">
                  <c:v>4.700000000000005</c:v>
                </c:pt>
                <c:pt idx="14">
                  <c:v>4.600000000000005</c:v>
                </c:pt>
                <c:pt idx="15">
                  <c:v>4.500000000000005</c:v>
                </c:pt>
                <c:pt idx="16">
                  <c:v>4.400000000000006</c:v>
                </c:pt>
                <c:pt idx="17">
                  <c:v>4.300000000000006</c:v>
                </c:pt>
                <c:pt idx="18">
                  <c:v>4.200000000000006</c:v>
                </c:pt>
                <c:pt idx="19">
                  <c:v>4.100000000000007</c:v>
                </c:pt>
                <c:pt idx="20">
                  <c:v>4.000000000000007</c:v>
                </c:pt>
                <c:pt idx="21">
                  <c:v>3.900000000000007</c:v>
                </c:pt>
                <c:pt idx="22">
                  <c:v>3.800000000000007</c:v>
                </c:pt>
                <c:pt idx="23">
                  <c:v>3.700000000000007</c:v>
                </c:pt>
                <c:pt idx="24">
                  <c:v>3.6000000000000068</c:v>
                </c:pt>
                <c:pt idx="25">
                  <c:v>3.5000000000000067</c:v>
                </c:pt>
                <c:pt idx="26">
                  <c:v>3.4000000000000066</c:v>
                </c:pt>
                <c:pt idx="27">
                  <c:v>3.3000000000000065</c:v>
                </c:pt>
                <c:pt idx="28">
                  <c:v>3.2000000000000064</c:v>
                </c:pt>
                <c:pt idx="29">
                  <c:v>3.1000000000000063</c:v>
                </c:pt>
                <c:pt idx="30">
                  <c:v>3.000000000000006</c:v>
                </c:pt>
                <c:pt idx="31">
                  <c:v>2.900000000000006</c:v>
                </c:pt>
                <c:pt idx="32">
                  <c:v>2.800000000000006</c:v>
                </c:pt>
                <c:pt idx="33">
                  <c:v>2.700000000000006</c:v>
                </c:pt>
                <c:pt idx="34">
                  <c:v>2.600000000000006</c:v>
                </c:pt>
                <c:pt idx="35">
                  <c:v>2.5000000000000058</c:v>
                </c:pt>
                <c:pt idx="36">
                  <c:v>2.4000000000000057</c:v>
                </c:pt>
                <c:pt idx="37">
                  <c:v>2.3000000000000056</c:v>
                </c:pt>
                <c:pt idx="38">
                  <c:v>2.2000000000000055</c:v>
                </c:pt>
                <c:pt idx="39">
                  <c:v>2.1000000000000054</c:v>
                </c:pt>
                <c:pt idx="40">
                  <c:v>2.0000000000000053</c:v>
                </c:pt>
                <c:pt idx="41">
                  <c:v>1.9000000000000052</c:v>
                </c:pt>
                <c:pt idx="42">
                  <c:v>1.8000000000000052</c:v>
                </c:pt>
                <c:pt idx="43">
                  <c:v>1.700000000000005</c:v>
                </c:pt>
                <c:pt idx="44">
                  <c:v>1.600000000000005</c:v>
                </c:pt>
                <c:pt idx="45">
                  <c:v>1.5000000000000049</c:v>
                </c:pt>
                <c:pt idx="46">
                  <c:v>1.4000000000000048</c:v>
                </c:pt>
                <c:pt idx="47">
                  <c:v>1.3000000000000047</c:v>
                </c:pt>
                <c:pt idx="48">
                  <c:v>1.2000000000000046</c:v>
                </c:pt>
                <c:pt idx="49">
                  <c:v>1.1000000000000045</c:v>
                </c:pt>
                <c:pt idx="50">
                  <c:v>1.0000000000000044</c:v>
                </c:pt>
                <c:pt idx="51">
                  <c:v>0.9000000000000045</c:v>
                </c:pt>
                <c:pt idx="52">
                  <c:v>0.8000000000000045</c:v>
                </c:pt>
                <c:pt idx="53">
                  <c:v>0.7000000000000045</c:v>
                </c:pt>
                <c:pt idx="54">
                  <c:v>0.6000000000000045</c:v>
                </c:pt>
                <c:pt idx="55">
                  <c:v>0.5000000000000046</c:v>
                </c:pt>
                <c:pt idx="56">
                  <c:v>0.4000000000000046</c:v>
                </c:pt>
                <c:pt idx="57">
                  <c:v>0.3000000000000046</c:v>
                </c:pt>
                <c:pt idx="58">
                  <c:v>0.2000000000000046</c:v>
                </c:pt>
                <c:pt idx="59">
                  <c:v>0.10000000000000459</c:v>
                </c:pt>
                <c:pt idx="60">
                  <c:v>4.579669976578771E-15</c:v>
                </c:pt>
              </c:numCache>
            </c:numRef>
          </c:cat>
          <c:val>
            <c:numRef>
              <c:f>'Trave su suolo elastico'!$E$17:$E$77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18884501"/>
        <c:axId val="35742782"/>
      </c:lineChart>
      <c:catAx>
        <c:axId val="1888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Ascissa x ( m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 val="autoZero"/>
        <c:auto val="1"/>
        <c:lblOffset val="100"/>
        <c:noMultiLvlLbl val="0"/>
      </c:catAx>
      <c:valAx>
        <c:axId val="357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Azione assiale ( kN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cross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'Trave su suolo elastico'!$H$15:$H$16</c:f>
              <c:strCache>
                <c:ptCount val="1"/>
                <c:pt idx="0">
                  <c:v>Reazione N/mm^2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'Trave su suolo elastico'!$A$17:$A$137</c:f>
              <c:numCache>
                <c:ptCount val="121"/>
                <c:pt idx="0">
                  <c:v>6</c:v>
                </c:pt>
                <c:pt idx="1">
                  <c:v>5.9</c:v>
                </c:pt>
                <c:pt idx="2">
                  <c:v>5.800000000000001</c:v>
                </c:pt>
                <c:pt idx="3">
                  <c:v>5.700000000000001</c:v>
                </c:pt>
                <c:pt idx="4">
                  <c:v>5.600000000000001</c:v>
                </c:pt>
                <c:pt idx="5">
                  <c:v>5.500000000000002</c:v>
                </c:pt>
                <c:pt idx="6">
                  <c:v>5.400000000000002</c:v>
                </c:pt>
                <c:pt idx="7">
                  <c:v>5.3000000000000025</c:v>
                </c:pt>
                <c:pt idx="8">
                  <c:v>5.200000000000003</c:v>
                </c:pt>
                <c:pt idx="9">
                  <c:v>5.100000000000003</c:v>
                </c:pt>
                <c:pt idx="10">
                  <c:v>5.0000000000000036</c:v>
                </c:pt>
                <c:pt idx="11">
                  <c:v>4.900000000000004</c:v>
                </c:pt>
                <c:pt idx="12">
                  <c:v>4.800000000000004</c:v>
                </c:pt>
                <c:pt idx="13">
                  <c:v>4.700000000000005</c:v>
                </c:pt>
                <c:pt idx="14">
                  <c:v>4.600000000000005</c:v>
                </c:pt>
                <c:pt idx="15">
                  <c:v>4.500000000000005</c:v>
                </c:pt>
                <c:pt idx="16">
                  <c:v>4.400000000000006</c:v>
                </c:pt>
                <c:pt idx="17">
                  <c:v>4.300000000000006</c:v>
                </c:pt>
                <c:pt idx="18">
                  <c:v>4.200000000000006</c:v>
                </c:pt>
                <c:pt idx="19">
                  <c:v>4.100000000000007</c:v>
                </c:pt>
                <c:pt idx="20">
                  <c:v>4.000000000000007</c:v>
                </c:pt>
                <c:pt idx="21">
                  <c:v>3.900000000000007</c:v>
                </c:pt>
                <c:pt idx="22">
                  <c:v>3.800000000000007</c:v>
                </c:pt>
                <c:pt idx="23">
                  <c:v>3.700000000000007</c:v>
                </c:pt>
                <c:pt idx="24">
                  <c:v>3.6000000000000068</c:v>
                </c:pt>
                <c:pt idx="25">
                  <c:v>3.5000000000000067</c:v>
                </c:pt>
                <c:pt idx="26">
                  <c:v>3.4000000000000066</c:v>
                </c:pt>
                <c:pt idx="27">
                  <c:v>3.3000000000000065</c:v>
                </c:pt>
                <c:pt idx="28">
                  <c:v>3.2000000000000064</c:v>
                </c:pt>
                <c:pt idx="29">
                  <c:v>3.1000000000000063</c:v>
                </c:pt>
                <c:pt idx="30">
                  <c:v>3.000000000000006</c:v>
                </c:pt>
                <c:pt idx="31">
                  <c:v>2.900000000000006</c:v>
                </c:pt>
                <c:pt idx="32">
                  <c:v>2.800000000000006</c:v>
                </c:pt>
                <c:pt idx="33">
                  <c:v>2.700000000000006</c:v>
                </c:pt>
                <c:pt idx="34">
                  <c:v>2.600000000000006</c:v>
                </c:pt>
                <c:pt idx="35">
                  <c:v>2.5000000000000058</c:v>
                </c:pt>
                <c:pt idx="36">
                  <c:v>2.4000000000000057</c:v>
                </c:pt>
                <c:pt idx="37">
                  <c:v>2.3000000000000056</c:v>
                </c:pt>
                <c:pt idx="38">
                  <c:v>2.2000000000000055</c:v>
                </c:pt>
                <c:pt idx="39">
                  <c:v>2.1000000000000054</c:v>
                </c:pt>
                <c:pt idx="40">
                  <c:v>2.0000000000000053</c:v>
                </c:pt>
                <c:pt idx="41">
                  <c:v>1.9000000000000052</c:v>
                </c:pt>
                <c:pt idx="42">
                  <c:v>1.8000000000000052</c:v>
                </c:pt>
                <c:pt idx="43">
                  <c:v>1.700000000000005</c:v>
                </c:pt>
                <c:pt idx="44">
                  <c:v>1.600000000000005</c:v>
                </c:pt>
                <c:pt idx="45">
                  <c:v>1.5000000000000049</c:v>
                </c:pt>
                <c:pt idx="46">
                  <c:v>1.4000000000000048</c:v>
                </c:pt>
                <c:pt idx="47">
                  <c:v>1.3000000000000047</c:v>
                </c:pt>
                <c:pt idx="48">
                  <c:v>1.2000000000000046</c:v>
                </c:pt>
                <c:pt idx="49">
                  <c:v>1.1000000000000045</c:v>
                </c:pt>
                <c:pt idx="50">
                  <c:v>1.0000000000000044</c:v>
                </c:pt>
                <c:pt idx="51">
                  <c:v>0.9000000000000045</c:v>
                </c:pt>
                <c:pt idx="52">
                  <c:v>0.8000000000000045</c:v>
                </c:pt>
                <c:pt idx="53">
                  <c:v>0.7000000000000045</c:v>
                </c:pt>
                <c:pt idx="54">
                  <c:v>0.6000000000000045</c:v>
                </c:pt>
                <c:pt idx="55">
                  <c:v>0.5000000000000046</c:v>
                </c:pt>
                <c:pt idx="56">
                  <c:v>0.4000000000000046</c:v>
                </c:pt>
                <c:pt idx="57">
                  <c:v>0.3000000000000046</c:v>
                </c:pt>
                <c:pt idx="58">
                  <c:v>0.2000000000000046</c:v>
                </c:pt>
                <c:pt idx="59">
                  <c:v>0.10000000000000459</c:v>
                </c:pt>
                <c:pt idx="60">
                  <c:v>4.579669976578771E-15</c:v>
                </c:pt>
                <c:pt idx="61">
                  <c:v>0.10000000000000459</c:v>
                </c:pt>
                <c:pt idx="62">
                  <c:v>0.2000000000000046</c:v>
                </c:pt>
                <c:pt idx="63">
                  <c:v>0.3000000000000046</c:v>
                </c:pt>
                <c:pt idx="64">
                  <c:v>0.4000000000000046</c:v>
                </c:pt>
                <c:pt idx="65">
                  <c:v>0.5000000000000046</c:v>
                </c:pt>
                <c:pt idx="66">
                  <c:v>0.6000000000000045</c:v>
                </c:pt>
                <c:pt idx="67">
                  <c:v>0.7000000000000045</c:v>
                </c:pt>
                <c:pt idx="68">
                  <c:v>0.8000000000000045</c:v>
                </c:pt>
                <c:pt idx="69">
                  <c:v>0.9000000000000045</c:v>
                </c:pt>
                <c:pt idx="70">
                  <c:v>1.0000000000000044</c:v>
                </c:pt>
                <c:pt idx="71">
                  <c:v>1.1000000000000045</c:v>
                </c:pt>
                <c:pt idx="72">
                  <c:v>1.2000000000000046</c:v>
                </c:pt>
                <c:pt idx="73">
                  <c:v>1.3000000000000047</c:v>
                </c:pt>
                <c:pt idx="74">
                  <c:v>1.4000000000000048</c:v>
                </c:pt>
                <c:pt idx="75">
                  <c:v>1.5000000000000049</c:v>
                </c:pt>
                <c:pt idx="76">
                  <c:v>1.600000000000005</c:v>
                </c:pt>
                <c:pt idx="77">
                  <c:v>1.700000000000005</c:v>
                </c:pt>
                <c:pt idx="78">
                  <c:v>1.8000000000000052</c:v>
                </c:pt>
                <c:pt idx="79">
                  <c:v>1.9000000000000052</c:v>
                </c:pt>
                <c:pt idx="80">
                  <c:v>2.0000000000000053</c:v>
                </c:pt>
                <c:pt idx="81">
                  <c:v>2.1000000000000054</c:v>
                </c:pt>
                <c:pt idx="82">
                  <c:v>2.2000000000000055</c:v>
                </c:pt>
                <c:pt idx="83">
                  <c:v>2.3000000000000056</c:v>
                </c:pt>
                <c:pt idx="84">
                  <c:v>2.4000000000000057</c:v>
                </c:pt>
                <c:pt idx="85">
                  <c:v>2.5000000000000058</c:v>
                </c:pt>
                <c:pt idx="86">
                  <c:v>2.600000000000006</c:v>
                </c:pt>
                <c:pt idx="87">
                  <c:v>2.700000000000006</c:v>
                </c:pt>
                <c:pt idx="88">
                  <c:v>2.800000000000006</c:v>
                </c:pt>
                <c:pt idx="89">
                  <c:v>2.900000000000006</c:v>
                </c:pt>
                <c:pt idx="90">
                  <c:v>3.000000000000006</c:v>
                </c:pt>
                <c:pt idx="91">
                  <c:v>3.1000000000000063</c:v>
                </c:pt>
                <c:pt idx="92">
                  <c:v>3.2000000000000064</c:v>
                </c:pt>
                <c:pt idx="93">
                  <c:v>3.3000000000000065</c:v>
                </c:pt>
                <c:pt idx="94">
                  <c:v>3.4000000000000066</c:v>
                </c:pt>
                <c:pt idx="95">
                  <c:v>3.5000000000000067</c:v>
                </c:pt>
                <c:pt idx="96">
                  <c:v>3.6000000000000068</c:v>
                </c:pt>
                <c:pt idx="97">
                  <c:v>3.700000000000007</c:v>
                </c:pt>
                <c:pt idx="98">
                  <c:v>3.800000000000007</c:v>
                </c:pt>
                <c:pt idx="99">
                  <c:v>3.900000000000007</c:v>
                </c:pt>
                <c:pt idx="100">
                  <c:v>4.000000000000007</c:v>
                </c:pt>
                <c:pt idx="101">
                  <c:v>4.100000000000007</c:v>
                </c:pt>
                <c:pt idx="102">
                  <c:v>4.200000000000006</c:v>
                </c:pt>
                <c:pt idx="103">
                  <c:v>4.300000000000006</c:v>
                </c:pt>
                <c:pt idx="104">
                  <c:v>4.400000000000006</c:v>
                </c:pt>
                <c:pt idx="105">
                  <c:v>4.500000000000005</c:v>
                </c:pt>
                <c:pt idx="106">
                  <c:v>4.600000000000005</c:v>
                </c:pt>
                <c:pt idx="107">
                  <c:v>4.700000000000005</c:v>
                </c:pt>
                <c:pt idx="108">
                  <c:v>4.800000000000004</c:v>
                </c:pt>
                <c:pt idx="109">
                  <c:v>4.900000000000004</c:v>
                </c:pt>
                <c:pt idx="110">
                  <c:v>5.0000000000000036</c:v>
                </c:pt>
                <c:pt idx="111">
                  <c:v>5.100000000000003</c:v>
                </c:pt>
                <c:pt idx="112">
                  <c:v>5.200000000000003</c:v>
                </c:pt>
                <c:pt idx="113">
                  <c:v>5.3000000000000025</c:v>
                </c:pt>
                <c:pt idx="114">
                  <c:v>5.400000000000002</c:v>
                </c:pt>
                <c:pt idx="115">
                  <c:v>5.500000000000002</c:v>
                </c:pt>
                <c:pt idx="116">
                  <c:v>5.600000000000001</c:v>
                </c:pt>
                <c:pt idx="117">
                  <c:v>5.700000000000001</c:v>
                </c:pt>
                <c:pt idx="118">
                  <c:v>5.800000000000001</c:v>
                </c:pt>
                <c:pt idx="119">
                  <c:v>5.9</c:v>
                </c:pt>
                <c:pt idx="120">
                  <c:v>6</c:v>
                </c:pt>
              </c:numCache>
            </c:numRef>
          </c:cat>
          <c:val>
            <c:numRef>
              <c:f>'Trave su suolo elastico'!$H$17:$H$137</c:f>
              <c:numCache>
                <c:ptCount val="121"/>
                <c:pt idx="0">
                  <c:v>0.16950678660579774</c:v>
                </c:pt>
                <c:pt idx="1">
                  <c:v>0.15982743134585023</c:v>
                </c:pt>
                <c:pt idx="2">
                  <c:v>0.1502254894575392</c:v>
                </c:pt>
                <c:pt idx="3">
                  <c:v>0.14076975971950448</c:v>
                </c:pt>
                <c:pt idx="4">
                  <c:v>0.1315200036001353</c:v>
                </c:pt>
                <c:pt idx="5">
                  <c:v>0.12252764681453295</c:v>
                </c:pt>
                <c:pt idx="6">
                  <c:v>0.1138364656865696</c:v>
                </c:pt>
                <c:pt idx="7">
                  <c:v>0.10548325448805254</c:v>
                </c:pt>
                <c:pt idx="8">
                  <c:v>0.09749847049537344</c:v>
                </c:pt>
                <c:pt idx="9">
                  <c:v>0.08990685402287134</c:v>
                </c:pt>
                <c:pt idx="10">
                  <c:v>0.08272802116310858</c:v>
                </c:pt>
                <c:pt idx="11">
                  <c:v>0.07597702738920761</c:v>
                </c:pt>
                <c:pt idx="12">
                  <c:v>0.06966490055534409</c:v>
                </c:pt>
                <c:pt idx="13">
                  <c:v>0.06379914217059722</c:v>
                </c:pt>
                <c:pt idx="14">
                  <c:v>0.058384196120890075</c:v>
                </c:pt>
                <c:pt idx="15">
                  <c:v>0.0534218842760658</c:v>
                </c:pt>
                <c:pt idx="16">
                  <c:v>0.04891180864664983</c:v>
                </c:pt>
                <c:pt idx="17">
                  <c:v>0.044851719950007155</c:v>
                </c:pt>
                <c:pt idx="18">
                  <c:v>0.041237852610890316</c:v>
                </c:pt>
                <c:pt idx="19">
                  <c:v>0.03806522635929144</c:v>
                </c:pt>
                <c:pt idx="20">
                  <c:v>0.035327914701541195</c:v>
                </c:pt>
                <c:pt idx="21">
                  <c:v>0.03301928063122684</c:v>
                </c:pt>
                <c:pt idx="22">
                  <c:v>0.031132180017184492</c:v>
                </c:pt>
                <c:pt idx="23">
                  <c:v>0.02965913315899195</c:v>
                </c:pt>
                <c:pt idx="24">
                  <c:v>0.028592465038448405</c:v>
                </c:pt>
                <c:pt idx="25">
                  <c:v>0.02792441482083741</c:v>
                </c:pt>
                <c:pt idx="26">
                  <c:v>0.027647215174657503</c:v>
                </c:pt>
                <c:pt idx="27">
                  <c:v>0.027753141985251757</c:v>
                </c:pt>
                <c:pt idx="28">
                  <c:v>0.02823453503861685</c:v>
                </c:pt>
                <c:pt idx="29">
                  <c:v>0.029083790248821694</c:v>
                </c:pt>
                <c:pt idx="30">
                  <c:v>0.03029332399807178</c:v>
                </c:pt>
                <c:pt idx="31">
                  <c:v>0.031855510154632144</c:v>
                </c:pt>
                <c:pt idx="32">
                  <c:v>0.03376259033263938</c:v>
                </c:pt>
                <c:pt idx="33">
                  <c:v>0.036006557961322606</c:v>
                </c:pt>
                <c:pt idx="34">
                  <c:v>0.038579016741299536</c:v>
                </c:pt>
                <c:pt idx="35">
                  <c:v>0.04147101408436479</c:v>
                </c:pt>
                <c:pt idx="36">
                  <c:v>0.044672850162442684</c:v>
                </c:pt>
                <c:pt idx="37">
                  <c:v>0.04817386323299558</c:v>
                </c:pt>
                <c:pt idx="38">
                  <c:v>0.05196219196397172</c:v>
                </c:pt>
                <c:pt idx="39">
                  <c:v>0.05602451555310444</c:v>
                </c:pt>
                <c:pt idx="40">
                  <c:v>0.0603457725257453</c:v>
                </c:pt>
                <c:pt idx="41">
                  <c:v>0.06490885920407628</c:v>
                </c:pt>
                <c:pt idx="42">
                  <c:v>0.06969430897008012</c:v>
                </c:pt>
                <c:pt idx="43">
                  <c:v>0.07467995359656524</c:v>
                </c:pt>
                <c:pt idx="44">
                  <c:v>0.07984056809626351</c:v>
                </c:pt>
                <c:pt idx="45">
                  <c:v>0.08514750073987779</c:v>
                </c:pt>
                <c:pt idx="46">
                  <c:v>0.09056829012117117</c:v>
                </c:pt>
                <c:pt idx="47">
                  <c:v>0.09606627140186196</c:v>
                </c:pt>
                <c:pt idx="48">
                  <c:v>0.1016001741521746</c:v>
                </c:pt>
                <c:pt idx="49">
                  <c:v>0.10712371451519881</c:v>
                </c:pt>
                <c:pt idx="50">
                  <c:v>0.11258518476534575</c:v>
                </c:pt>
                <c:pt idx="51">
                  <c:v>0.11792704370358092</c:v>
                </c:pt>
                <c:pt idx="52">
                  <c:v>0.12308551173494403</c:v>
                </c:pt>
                <c:pt idx="53">
                  <c:v>0.12799017490707304</c:v>
                </c:pt>
                <c:pt idx="54">
                  <c:v>0.1325636026516773</c:v>
                </c:pt>
                <c:pt idx="55">
                  <c:v>0.13672098446348235</c:v>
                </c:pt>
                <c:pt idx="56">
                  <c:v>0.14036979127207325</c:v>
                </c:pt>
                <c:pt idx="57">
                  <c:v>0.14340946780988095</c:v>
                </c:pt>
                <c:pt idx="58">
                  <c:v>0.14573116285244656</c:v>
                </c:pt>
                <c:pt idx="59">
                  <c:v>0.14721750480275186</c:v>
                </c:pt>
                <c:pt idx="60">
                  <c:v>0.1477424307070009</c:v>
                </c:pt>
                <c:pt idx="61">
                  <c:v>0.14721750480275186</c:v>
                </c:pt>
                <c:pt idx="62">
                  <c:v>0.14573116285244656</c:v>
                </c:pt>
                <c:pt idx="63">
                  <c:v>0.14340946780988095</c:v>
                </c:pt>
                <c:pt idx="64">
                  <c:v>0.14036979127207325</c:v>
                </c:pt>
                <c:pt idx="65">
                  <c:v>0.13672098446348235</c:v>
                </c:pt>
                <c:pt idx="66">
                  <c:v>0.1325636026516773</c:v>
                </c:pt>
                <c:pt idx="67">
                  <c:v>0.12799017490707304</c:v>
                </c:pt>
                <c:pt idx="68">
                  <c:v>0.12308551173494403</c:v>
                </c:pt>
                <c:pt idx="69">
                  <c:v>0.11792704370358092</c:v>
                </c:pt>
                <c:pt idx="70">
                  <c:v>0.11258518476534575</c:v>
                </c:pt>
                <c:pt idx="71">
                  <c:v>0.10712371451519881</c:v>
                </c:pt>
                <c:pt idx="72">
                  <c:v>0.1016001741521746</c:v>
                </c:pt>
                <c:pt idx="73">
                  <c:v>0.09606627140186196</c:v>
                </c:pt>
                <c:pt idx="74">
                  <c:v>0.09056829012117117</c:v>
                </c:pt>
                <c:pt idx="75">
                  <c:v>0.08514750073987779</c:v>
                </c:pt>
                <c:pt idx="76">
                  <c:v>0.07984056809626351</c:v>
                </c:pt>
                <c:pt idx="77">
                  <c:v>0.07467995359656524</c:v>
                </c:pt>
                <c:pt idx="78">
                  <c:v>0.06969430897008012</c:v>
                </c:pt>
                <c:pt idx="79">
                  <c:v>0.06490885920407628</c:v>
                </c:pt>
                <c:pt idx="80">
                  <c:v>0.0603457725257453</c:v>
                </c:pt>
                <c:pt idx="81">
                  <c:v>0.05602451555310444</c:v>
                </c:pt>
                <c:pt idx="82">
                  <c:v>0.05196219196397172</c:v>
                </c:pt>
                <c:pt idx="83">
                  <c:v>0.04817386323299558</c:v>
                </c:pt>
                <c:pt idx="84">
                  <c:v>0.044672850162442684</c:v>
                </c:pt>
                <c:pt idx="85">
                  <c:v>0.04147101408436479</c:v>
                </c:pt>
                <c:pt idx="86">
                  <c:v>0.038579016741299536</c:v>
                </c:pt>
                <c:pt idx="87">
                  <c:v>0.036006557961322606</c:v>
                </c:pt>
                <c:pt idx="88">
                  <c:v>0.03376259033263938</c:v>
                </c:pt>
                <c:pt idx="89">
                  <c:v>0.031855510154632144</c:v>
                </c:pt>
                <c:pt idx="90">
                  <c:v>0.03029332399807178</c:v>
                </c:pt>
                <c:pt idx="91">
                  <c:v>0.029083790248821694</c:v>
                </c:pt>
                <c:pt idx="92">
                  <c:v>0.02823453503861685</c:v>
                </c:pt>
                <c:pt idx="93">
                  <c:v>0.027753141985251757</c:v>
                </c:pt>
                <c:pt idx="94">
                  <c:v>0.027647215174657503</c:v>
                </c:pt>
                <c:pt idx="95">
                  <c:v>0.02792441482083741</c:v>
                </c:pt>
                <c:pt idx="96">
                  <c:v>0.028592465038448405</c:v>
                </c:pt>
                <c:pt idx="97">
                  <c:v>0.02965913315899195</c:v>
                </c:pt>
                <c:pt idx="98">
                  <c:v>0.031132180017184492</c:v>
                </c:pt>
                <c:pt idx="99">
                  <c:v>0.03301928063122684</c:v>
                </c:pt>
                <c:pt idx="100">
                  <c:v>0.035327914701541195</c:v>
                </c:pt>
                <c:pt idx="101">
                  <c:v>0.03806522635929144</c:v>
                </c:pt>
                <c:pt idx="102">
                  <c:v>0.041237852610890316</c:v>
                </c:pt>
                <c:pt idx="103">
                  <c:v>0.044851719950007155</c:v>
                </c:pt>
                <c:pt idx="104">
                  <c:v>0.04891180864664983</c:v>
                </c:pt>
                <c:pt idx="105">
                  <c:v>0.0534218842760658</c:v>
                </c:pt>
                <c:pt idx="106">
                  <c:v>0.058384196120890075</c:v>
                </c:pt>
                <c:pt idx="107">
                  <c:v>0.06379914217059722</c:v>
                </c:pt>
                <c:pt idx="108">
                  <c:v>0.06966490055534409</c:v>
                </c:pt>
                <c:pt idx="109">
                  <c:v>0.07597702738920761</c:v>
                </c:pt>
                <c:pt idx="110">
                  <c:v>0.08272802116310858</c:v>
                </c:pt>
                <c:pt idx="111">
                  <c:v>0.08990685402287134</c:v>
                </c:pt>
                <c:pt idx="112">
                  <c:v>0.09749847049537344</c:v>
                </c:pt>
                <c:pt idx="113">
                  <c:v>0.10548325448805254</c:v>
                </c:pt>
                <c:pt idx="114">
                  <c:v>0.1138364656865696</c:v>
                </c:pt>
                <c:pt idx="115">
                  <c:v>0.12252764681453295</c:v>
                </c:pt>
                <c:pt idx="116">
                  <c:v>0.1315200036001353</c:v>
                </c:pt>
                <c:pt idx="117">
                  <c:v>0.14076975971950448</c:v>
                </c:pt>
                <c:pt idx="118">
                  <c:v>0.1502254894575392</c:v>
                </c:pt>
                <c:pt idx="119">
                  <c:v>0.15982743134585023</c:v>
                </c:pt>
                <c:pt idx="120">
                  <c:v>0.16950678660579774</c:v>
                </c:pt>
              </c:numCache>
            </c:numRef>
          </c:val>
          <c:smooth val="0"/>
        </c:ser>
        <c:dropLines>
          <c:spPr>
            <a:ln w="3175">
              <a:solidFill>
                <a:srgbClr val="9999FF"/>
              </a:solidFill>
            </a:ln>
          </c:spPr>
        </c:dropLines>
        <c:marker val="1"/>
        <c:axId val="53249583"/>
        <c:axId val="9484200"/>
      </c:lineChart>
      <c:catAx>
        <c:axId val="53249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Ascissa x ( m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auto val="1"/>
        <c:lblOffset val="100"/>
        <c:noMultiLvlLbl val="0"/>
      </c:catAx>
      <c:valAx>
        <c:axId val="94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Reazione del terreno ( N/mm^2 )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cross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7874015748031497" bottom="0.787401574803149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7874015748031497" bottom="0.7874015748031497" header="0.5118110236220472" footer="0.511811023622047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7874015748031497" bottom="0.7874015748031497" header="0.5118110236220472" footer="0.5118110236220472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7874015748031497" bottom="0.7874015748031497" header="0.5118110236220472" footer="0.5118110236220472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7874015748031497" bottom="0.7874015748031497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Chart 1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9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9.28125" style="0" customWidth="1"/>
    <col min="2" max="2" width="10.421875" style="0" customWidth="1"/>
    <col min="3" max="3" width="11.00390625" style="0" customWidth="1"/>
    <col min="4" max="4" width="10.57421875" style="0" customWidth="1"/>
    <col min="5" max="5" width="14.140625" style="0" customWidth="1"/>
    <col min="6" max="6" width="6.28125" style="0" customWidth="1"/>
    <col min="7" max="7" width="6.57421875" style="0" customWidth="1"/>
    <col min="8" max="8" width="12.00390625" style="0" bestFit="1" customWidth="1"/>
    <col min="9" max="9" width="4.57421875" style="0" customWidth="1"/>
    <col min="10" max="10" width="12.00390625" style="0" bestFit="1" customWidth="1"/>
    <col min="12" max="12" width="9.57421875" style="0" customWidth="1"/>
    <col min="13" max="13" width="20.140625" style="0" bestFit="1" customWidth="1"/>
    <col min="14" max="15" width="20.140625" style="0" customWidth="1"/>
    <col min="16" max="16" width="20.7109375" style="0" customWidth="1"/>
    <col min="17" max="17" width="5.57421875" style="0" customWidth="1"/>
    <col min="18" max="19" width="15.140625" style="0" customWidth="1"/>
    <col min="20" max="21" width="18.140625" style="0" customWidth="1"/>
    <col min="24" max="25" width="15.00390625" style="0" bestFit="1" customWidth="1"/>
    <col min="26" max="27" width="18.00390625" style="0" bestFit="1" customWidth="1"/>
    <col min="28" max="28" width="2.7109375" style="0" customWidth="1"/>
    <col min="29" max="29" width="2.28125" style="0" customWidth="1"/>
    <col min="30" max="30" width="2.7109375" style="0" customWidth="1"/>
    <col min="31" max="32" width="13.140625" style="0" customWidth="1"/>
    <col min="33" max="33" width="14.00390625" style="0" customWidth="1"/>
    <col min="34" max="34" width="14.8515625" style="0" customWidth="1"/>
    <col min="35" max="36" width="14.00390625" style="0" customWidth="1"/>
    <col min="38" max="38" width="17.421875" style="0" customWidth="1"/>
  </cols>
  <sheetData>
    <row r="1" spans="1:38" ht="12.75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 t="s">
        <v>58</v>
      </c>
      <c r="M1" s="7"/>
      <c r="N1" s="7"/>
      <c r="O1" s="7"/>
      <c r="P1" s="7"/>
      <c r="Q1" s="7"/>
      <c r="R1" s="7" t="s">
        <v>49</v>
      </c>
      <c r="S1" s="7"/>
      <c r="T1" s="7"/>
      <c r="U1" s="7"/>
      <c r="V1" s="7"/>
      <c r="W1" s="7"/>
      <c r="X1" s="7" t="s">
        <v>50</v>
      </c>
      <c r="Y1" s="7"/>
      <c r="Z1" s="7"/>
      <c r="AA1" s="7"/>
      <c r="AB1" s="7"/>
      <c r="AC1" s="7"/>
      <c r="AD1" s="7"/>
      <c r="AE1" s="7"/>
      <c r="AF1" s="7"/>
      <c r="AG1" s="27" t="s">
        <v>55</v>
      </c>
      <c r="AH1" s="7"/>
      <c r="AI1" s="7"/>
      <c r="AJ1" s="7"/>
      <c r="AK1" s="7"/>
      <c r="AL1" s="7" t="s">
        <v>79</v>
      </c>
    </row>
    <row r="2" spans="1:38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31" t="s">
        <v>0</v>
      </c>
      <c r="M2" s="32">
        <f>H5</f>
        <v>0.6564344877671339</v>
      </c>
      <c r="N2" s="32"/>
      <c r="O2" s="3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27"/>
      <c r="AH2" s="7"/>
      <c r="AI2" s="7"/>
      <c r="AJ2" s="7"/>
      <c r="AK2" s="7"/>
      <c r="AL2" s="7"/>
    </row>
    <row r="3" spans="1:38" ht="14.25">
      <c r="A3" s="11" t="s">
        <v>4</v>
      </c>
      <c r="B3" s="11" t="s">
        <v>5</v>
      </c>
      <c r="C3" s="11" t="s">
        <v>6</v>
      </c>
      <c r="D3" s="11" t="s">
        <v>9</v>
      </c>
      <c r="E3" s="9" t="s">
        <v>10</v>
      </c>
      <c r="F3" s="9" t="s">
        <v>12</v>
      </c>
      <c r="G3" s="3" t="s">
        <v>4</v>
      </c>
      <c r="H3" s="3" t="s">
        <v>0</v>
      </c>
      <c r="I3" s="1" t="s">
        <v>1</v>
      </c>
      <c r="J3" s="3" t="s">
        <v>1</v>
      </c>
      <c r="K3" s="7"/>
      <c r="L3" s="14" t="s">
        <v>15</v>
      </c>
      <c r="M3" s="21">
        <f>H5*H5</f>
        <v>0.4309062367300994</v>
      </c>
      <c r="N3" s="41"/>
      <c r="O3" s="41"/>
      <c r="P3" s="7"/>
      <c r="Q3" s="20"/>
      <c r="R3" s="48" t="s">
        <v>59</v>
      </c>
      <c r="S3" s="48" t="s">
        <v>60</v>
      </c>
      <c r="T3" s="48" t="s">
        <v>61</v>
      </c>
      <c r="U3" s="48" t="s">
        <v>62</v>
      </c>
      <c r="V3" s="7"/>
      <c r="W3" s="38" t="s">
        <v>51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4.25">
      <c r="A4" s="4" t="s">
        <v>7</v>
      </c>
      <c r="B4" s="4" t="s">
        <v>7</v>
      </c>
      <c r="C4" s="4" t="s">
        <v>8</v>
      </c>
      <c r="D4" s="4" t="s">
        <v>81</v>
      </c>
      <c r="E4" s="2" t="s">
        <v>11</v>
      </c>
      <c r="F4" s="2" t="s">
        <v>13</v>
      </c>
      <c r="G4" s="2" t="s">
        <v>14</v>
      </c>
      <c r="H4" s="4" t="s">
        <v>2</v>
      </c>
      <c r="I4" s="2" t="s">
        <v>3</v>
      </c>
      <c r="J4" s="4" t="s">
        <v>3</v>
      </c>
      <c r="K4" s="7"/>
      <c r="L4" s="14" t="s">
        <v>16</v>
      </c>
      <c r="M4" s="21">
        <f>H5*H5*H5</f>
        <v>0.2828617147835861</v>
      </c>
      <c r="N4" s="41"/>
      <c r="O4" s="41"/>
      <c r="P4" s="7"/>
      <c r="Q4" s="47" t="s">
        <v>100</v>
      </c>
      <c r="R4" s="58">
        <v>0.6564</v>
      </c>
      <c r="S4" s="57">
        <v>-0.6564</v>
      </c>
      <c r="T4" s="57">
        <v>0.6564</v>
      </c>
      <c r="U4" s="57">
        <v>0.6564</v>
      </c>
      <c r="V4" s="7"/>
      <c r="W4" s="39" t="s">
        <v>73</v>
      </c>
      <c r="X4" s="24">
        <f>R6</f>
        <v>0.565634</v>
      </c>
      <c r="Y4" s="24">
        <f>S6</f>
        <v>0.565634</v>
      </c>
      <c r="Z4" s="24">
        <f>T6</f>
        <v>0.565634</v>
      </c>
      <c r="AA4" s="24">
        <f>U6</f>
        <v>-0.565634</v>
      </c>
      <c r="AB4" s="35" t="s">
        <v>64</v>
      </c>
      <c r="AC4" s="17" t="s">
        <v>27</v>
      </c>
      <c r="AD4" s="35" t="s">
        <v>63</v>
      </c>
      <c r="AE4" s="25">
        <v>0</v>
      </c>
      <c r="AF4" s="40"/>
      <c r="AG4" s="44">
        <f>INDEX(MINVERSE(X4:AA7),1,1)</f>
        <v>-5.088199379896156E-07</v>
      </c>
      <c r="AH4" s="44">
        <f>INDEX(MINVERSE(X4:AA7),1,2)</f>
        <v>-1.1604689049194632</v>
      </c>
      <c r="AI4" s="44">
        <f>INDEX(MINVERSE(X4:AA7),1,3)</f>
        <v>-0.0006706574946940845</v>
      </c>
      <c r="AJ4" s="44">
        <f>INDEX(MINVERSE(X4:AA7),1,4)</f>
        <v>0.0004301732664636003</v>
      </c>
      <c r="AK4" s="37"/>
      <c r="AL4" s="45">
        <f>INDEX((MMULT(AG4:AJ7,AE4:AE7)),1,1)</f>
        <v>0</v>
      </c>
    </row>
    <row r="5" spans="1:38" ht="14.25">
      <c r="A5" s="10">
        <v>1400</v>
      </c>
      <c r="B5" s="5">
        <v>350</v>
      </c>
      <c r="C5" s="5">
        <f>(A5*(B5^3))/12</f>
        <v>5002083333.333333</v>
      </c>
      <c r="D5" s="13">
        <v>33915.1757</v>
      </c>
      <c r="E5" s="12">
        <f>C5*D5</f>
        <v>169646535116041.66</v>
      </c>
      <c r="F5" s="53">
        <v>0.09</v>
      </c>
      <c r="G5" s="6">
        <f>F5*A5</f>
        <v>126</v>
      </c>
      <c r="H5" s="5">
        <f>1000*(G5/(4*E5))^0.25</f>
        <v>0.6564344877671339</v>
      </c>
      <c r="I5" s="6">
        <v>6</v>
      </c>
      <c r="J5" s="5">
        <f>2*3.14159265359/H5</f>
        <v>9.571686777994092</v>
      </c>
      <c r="K5" s="7"/>
      <c r="L5" s="14" t="s">
        <v>17</v>
      </c>
      <c r="M5" s="21">
        <f>H5*I5</f>
        <v>3.9386069266028034</v>
      </c>
      <c r="N5" s="41"/>
      <c r="O5" s="41"/>
      <c r="P5" s="7"/>
      <c r="Q5" s="47" t="s">
        <v>101</v>
      </c>
      <c r="R5" s="57">
        <v>-0.861721</v>
      </c>
      <c r="S5" s="57">
        <v>0</v>
      </c>
      <c r="T5" s="57">
        <v>0.861721</v>
      </c>
      <c r="U5" s="57">
        <v>0</v>
      </c>
      <c r="V5" s="7"/>
      <c r="W5" s="39" t="s">
        <v>74</v>
      </c>
      <c r="X5" s="24">
        <f>R5</f>
        <v>-0.861721</v>
      </c>
      <c r="Y5" s="24">
        <f>S5</f>
        <v>0</v>
      </c>
      <c r="Z5" s="24">
        <f>T5</f>
        <v>0.861721</v>
      </c>
      <c r="AA5" s="24">
        <f>U5</f>
        <v>0</v>
      </c>
      <c r="AB5" s="35" t="s">
        <v>64</v>
      </c>
      <c r="AC5" s="17" t="s">
        <v>28</v>
      </c>
      <c r="AD5" s="35" t="s">
        <v>63</v>
      </c>
      <c r="AE5" s="25">
        <v>0</v>
      </c>
      <c r="AF5" s="40"/>
      <c r="AG5" s="44">
        <f>INDEX(MINVERSE(X4:AA7),2,1)</f>
        <v>1.7679289543398822</v>
      </c>
      <c r="AH5" s="44">
        <f>INDEX(MINVERSE(X4:AA7),2,2)</f>
        <v>1.1604695729008536</v>
      </c>
      <c r="AI5" s="44">
        <f>INDEX(MINVERSE(X4:AA7),2,3)</f>
        <v>0.0013566207598344903</v>
      </c>
      <c r="AJ5" s="44">
        <f>INDEX(MINVERSE(X4:AA7),2,4)</f>
        <v>-0.0013106150485777204</v>
      </c>
      <c r="AK5" s="37"/>
      <c r="AL5" s="45">
        <f>INDEX((MMULT(AG4:AJ7,AE4:AE7)),2,1)</f>
        <v>0</v>
      </c>
    </row>
    <row r="6" spans="1:38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5" t="s">
        <v>18</v>
      </c>
      <c r="M6" s="21">
        <f>2*M5</f>
        <v>7.877213853205607</v>
      </c>
      <c r="N6" s="41"/>
      <c r="O6" s="41"/>
      <c r="P6" s="7"/>
      <c r="Q6" s="47" t="s">
        <v>102</v>
      </c>
      <c r="R6" s="57">
        <v>0.565634</v>
      </c>
      <c r="S6" s="57">
        <v>0.565634</v>
      </c>
      <c r="T6" s="57">
        <v>0.565634</v>
      </c>
      <c r="U6" s="57">
        <v>-0.565634</v>
      </c>
      <c r="V6" s="7"/>
      <c r="W6" s="39" t="s">
        <v>75</v>
      </c>
      <c r="X6" s="24">
        <f>R20</f>
        <v>0.000209674</v>
      </c>
      <c r="Y6" s="24">
        <f>S20</f>
        <v>-0.000219466</v>
      </c>
      <c r="Z6" s="24">
        <f>T20</f>
        <v>-1524.31</v>
      </c>
      <c r="AA6" s="24">
        <f>U20</f>
        <v>-1456.28</v>
      </c>
      <c r="AB6" s="35" t="s">
        <v>64</v>
      </c>
      <c r="AC6" s="17" t="s">
        <v>29</v>
      </c>
      <c r="AD6" s="35" t="s">
        <v>63</v>
      </c>
      <c r="AE6" s="25">
        <v>0</v>
      </c>
      <c r="AF6" s="40"/>
      <c r="AG6" s="44">
        <f>INDEX(MINVERSE(X4:AA7),3,1)</f>
        <v>-5.088199379896156E-07</v>
      </c>
      <c r="AH6" s="44">
        <f>INDEX(MINVERSE(X4:AA7),3,2)</f>
        <v>-4.934498577145456E-07</v>
      </c>
      <c r="AI6" s="44">
        <f>INDEX(MINVERSE(X4:AA7),3,3)</f>
        <v>-0.0006706574946940845</v>
      </c>
      <c r="AJ6" s="44">
        <f>INDEX(MINVERSE(X4:AA7),3,4)</f>
        <v>0.0004301732664636003</v>
      </c>
      <c r="AK6" s="37"/>
      <c r="AL6" s="45">
        <f>INDEX((MMULT(AG4:AJ7,AE4:AE7)),3,1)</f>
        <v>0</v>
      </c>
    </row>
    <row r="7" spans="1:38" ht="14.25">
      <c r="A7" s="7" t="s">
        <v>31</v>
      </c>
      <c r="B7" s="7"/>
      <c r="C7" s="7"/>
      <c r="D7" s="7"/>
      <c r="E7" s="7"/>
      <c r="F7" s="7"/>
      <c r="G7" s="7"/>
      <c r="H7" s="7"/>
      <c r="I7" s="7"/>
      <c r="J7" s="7"/>
      <c r="K7" s="7"/>
      <c r="L7" s="15" t="s">
        <v>19</v>
      </c>
      <c r="M7" s="21">
        <f>SIN(M5)</f>
        <v>-0.7152727205094462</v>
      </c>
      <c r="N7" s="41"/>
      <c r="O7" s="41"/>
      <c r="P7" s="7"/>
      <c r="Q7" s="46"/>
      <c r="R7" s="20"/>
      <c r="S7" s="20"/>
      <c r="T7" s="20"/>
      <c r="U7" s="20"/>
      <c r="V7" s="7"/>
      <c r="W7" s="39" t="s">
        <v>76</v>
      </c>
      <c r="X7" s="24">
        <f>R19</f>
        <v>7.46023E-06</v>
      </c>
      <c r="Y7" s="24">
        <f>S19</f>
        <v>0.00032689</v>
      </c>
      <c r="Z7" s="24">
        <f>T19</f>
        <v>-51.8145</v>
      </c>
      <c r="AA7" s="24">
        <f>U19</f>
        <v>-2270.4</v>
      </c>
      <c r="AB7" s="35" t="s">
        <v>64</v>
      </c>
      <c r="AC7" s="17" t="s">
        <v>30</v>
      </c>
      <c r="AD7" s="35" t="s">
        <v>63</v>
      </c>
      <c r="AE7" s="25">
        <v>0</v>
      </c>
      <c r="AF7" s="40"/>
      <c r="AG7" s="44">
        <f>INDEX(MINVERSE(X4:AA7),4,1)</f>
        <v>2.6615686344486133E-07</v>
      </c>
      <c r="AH7" s="44">
        <f>INDEX(MINVERSE(X4:AA7),4,2)</f>
        <v>1.745315325050929E-07</v>
      </c>
      <c r="AI7" s="44">
        <f>INDEX(MINVERSE(X4:AA7),4,3)</f>
        <v>1.5305770446321206E-05</v>
      </c>
      <c r="AJ7" s="44">
        <f>INDEX(MINVERSE(X4:AA7),4,4)</f>
        <v>-0.0004502685156505197</v>
      </c>
      <c r="AK7" s="37"/>
      <c r="AL7" s="45">
        <f>INDEX((MMULT(AG4:AJ7,AE4:AE7)),4,1)</f>
        <v>0</v>
      </c>
    </row>
    <row r="8" spans="1:38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5" t="s">
        <v>20</v>
      </c>
      <c r="M8" s="21">
        <f>COS(M5)</f>
        <v>-0.6988454301882611</v>
      </c>
      <c r="N8" s="41"/>
      <c r="O8" s="41"/>
      <c r="P8" s="7"/>
      <c r="Q8" s="35"/>
      <c r="R8" s="8"/>
      <c r="S8" s="8"/>
      <c r="T8" s="8"/>
      <c r="U8" s="8"/>
      <c r="V8" s="7"/>
      <c r="W8" s="7"/>
      <c r="X8" s="7"/>
      <c r="Y8" s="7"/>
      <c r="Z8" s="7"/>
      <c r="AA8" s="7"/>
      <c r="AB8" s="7"/>
      <c r="AC8" s="34"/>
      <c r="AD8" s="7"/>
      <c r="AE8" s="26"/>
      <c r="AF8" s="26"/>
      <c r="AG8" s="37"/>
      <c r="AH8" s="37"/>
      <c r="AI8" s="37"/>
      <c r="AJ8" s="37"/>
      <c r="AK8" s="37"/>
      <c r="AL8" s="37"/>
    </row>
    <row r="9" spans="1:38" ht="14.25">
      <c r="A9" s="11" t="s">
        <v>106</v>
      </c>
      <c r="B9" s="11" t="s">
        <v>32</v>
      </c>
      <c r="C9" s="11" t="s">
        <v>33</v>
      </c>
      <c r="D9" s="9" t="s">
        <v>34</v>
      </c>
      <c r="E9" s="7"/>
      <c r="F9" s="7"/>
      <c r="G9" s="7"/>
      <c r="H9" s="7"/>
      <c r="I9" s="7"/>
      <c r="J9" s="7"/>
      <c r="K9" s="7"/>
      <c r="L9" s="15" t="s">
        <v>21</v>
      </c>
      <c r="M9" s="21">
        <f>SIN(M6)</f>
        <v>0.9997301441327034</v>
      </c>
      <c r="N9" s="41"/>
      <c r="O9" s="41"/>
      <c r="P9" s="7"/>
      <c r="Q9" s="35"/>
      <c r="R9" s="8"/>
      <c r="S9" s="8"/>
      <c r="T9" s="8"/>
      <c r="U9" s="8"/>
      <c r="V9" s="7"/>
      <c r="W9" s="27" t="s">
        <v>52</v>
      </c>
      <c r="X9" s="7"/>
      <c r="Y9" s="7"/>
      <c r="Z9" s="7"/>
      <c r="AA9" s="7"/>
      <c r="AB9" s="7"/>
      <c r="AC9" s="34"/>
      <c r="AD9" s="7"/>
      <c r="AE9" s="26"/>
      <c r="AF9" s="26"/>
      <c r="AG9" s="37"/>
      <c r="AH9" s="37"/>
      <c r="AI9" s="37"/>
      <c r="AJ9" s="37"/>
      <c r="AK9" s="37"/>
      <c r="AL9" s="37"/>
    </row>
    <row r="10" spans="1:38" ht="14.25">
      <c r="A10" s="4" t="s">
        <v>36</v>
      </c>
      <c r="B10" s="4" t="s">
        <v>35</v>
      </c>
      <c r="C10" s="4" t="s">
        <v>35</v>
      </c>
      <c r="D10" s="4" t="s">
        <v>35</v>
      </c>
      <c r="E10" s="7"/>
      <c r="F10" s="7"/>
      <c r="G10" s="7"/>
      <c r="H10" s="7"/>
      <c r="I10" s="7"/>
      <c r="J10" s="7"/>
      <c r="K10" s="7"/>
      <c r="L10" s="15" t="s">
        <v>22</v>
      </c>
      <c r="M10" s="21">
        <f>COS(M6)</f>
        <v>-0.023230129409968703</v>
      </c>
      <c r="N10" s="41"/>
      <c r="O10" s="41"/>
      <c r="P10" s="7"/>
      <c r="Q10" s="35"/>
      <c r="R10" s="48" t="s">
        <v>59</v>
      </c>
      <c r="S10" s="48" t="s">
        <v>60</v>
      </c>
      <c r="T10" s="48" t="s">
        <v>61</v>
      </c>
      <c r="U10" s="48" t="s">
        <v>62</v>
      </c>
      <c r="V10" s="7"/>
      <c r="W10" s="39" t="s">
        <v>70</v>
      </c>
      <c r="X10" s="24">
        <f>R6</f>
        <v>0.565634</v>
      </c>
      <c r="Y10" s="24">
        <f>S6</f>
        <v>0.565634</v>
      </c>
      <c r="Z10" s="24">
        <f>T6</f>
        <v>0.565634</v>
      </c>
      <c r="AA10" s="24">
        <f>U6</f>
        <v>-0.565634</v>
      </c>
      <c r="AB10" s="35" t="s">
        <v>64</v>
      </c>
      <c r="AC10" s="17" t="s">
        <v>27</v>
      </c>
      <c r="AD10" s="35" t="s">
        <v>63</v>
      </c>
      <c r="AE10" s="25">
        <f>(B11*1000/(E5*0.000001))</f>
        <v>0.0009284009242644821</v>
      </c>
      <c r="AF10" s="40"/>
      <c r="AG10" s="44">
        <f>INDEX(MINVERSE(X10:AA13),1,1)</f>
        <v>-5.088199379896156E-07</v>
      </c>
      <c r="AH10" s="44">
        <f>INDEX(MINVERSE(X10:AA13),1,2)</f>
        <v>-1.1604689049194632</v>
      </c>
      <c r="AI10" s="44">
        <f>INDEX(MINVERSE(X10:AA13),1,3)</f>
        <v>-0.0006706574946940845</v>
      </c>
      <c r="AJ10" s="44">
        <f>INDEX(MINVERSE(X10:AA13),1,4)</f>
        <v>0.0004301732664636003</v>
      </c>
      <c r="AK10" s="37"/>
      <c r="AL10" s="45">
        <f>INDEX((MMULT(AG10:AJ13,AE10:AE13)),1,1)</f>
        <v>-4.723889007137556E-10</v>
      </c>
    </row>
    <row r="11" spans="1:38" ht="14.25">
      <c r="A11" s="6">
        <v>40</v>
      </c>
      <c r="B11" s="6">
        <v>157.5</v>
      </c>
      <c r="C11" s="6">
        <v>525</v>
      </c>
      <c r="D11" s="6">
        <v>157.5</v>
      </c>
      <c r="E11" s="7"/>
      <c r="F11" s="7"/>
      <c r="G11" s="7"/>
      <c r="H11" s="7"/>
      <c r="I11" s="7"/>
      <c r="J11" s="7"/>
      <c r="K11" s="7"/>
      <c r="L11" s="15" t="s">
        <v>23</v>
      </c>
      <c r="M11" s="22">
        <f>EXP(M5)</f>
        <v>51.347021284618066</v>
      </c>
      <c r="N11" s="42"/>
      <c r="O11" s="42"/>
      <c r="P11" s="7"/>
      <c r="Q11" s="47" t="s">
        <v>37</v>
      </c>
      <c r="R11" s="57">
        <v>0.000206298</v>
      </c>
      <c r="S11" s="57">
        <v>0.0180813</v>
      </c>
      <c r="T11" s="57">
        <v>-47.6519</v>
      </c>
      <c r="U11" s="57">
        <v>0.543672</v>
      </c>
      <c r="V11" s="7"/>
      <c r="W11" s="39" t="s">
        <v>74</v>
      </c>
      <c r="X11" s="24">
        <f>R5</f>
        <v>-0.861721</v>
      </c>
      <c r="Y11" s="24">
        <f>S5</f>
        <v>0</v>
      </c>
      <c r="Z11" s="24">
        <f>T5</f>
        <v>0.861721</v>
      </c>
      <c r="AA11" s="24">
        <f>U5</f>
        <v>0</v>
      </c>
      <c r="AB11" s="35" t="s">
        <v>64</v>
      </c>
      <c r="AC11" s="17" t="s">
        <v>28</v>
      </c>
      <c r="AD11" s="35" t="s">
        <v>63</v>
      </c>
      <c r="AE11" s="25">
        <v>0</v>
      </c>
      <c r="AF11" s="40"/>
      <c r="AG11" s="44">
        <f>INDEX(MINVERSE(X10:AA13),2,1)</f>
        <v>1.7679289543398822</v>
      </c>
      <c r="AH11" s="44">
        <f>INDEX(MINVERSE(X10:AA13),2,2)</f>
        <v>1.1604695729008536</v>
      </c>
      <c r="AI11" s="44">
        <f>INDEX(MINVERSE(X10:AA13),2,3)</f>
        <v>0.0013566207598344903</v>
      </c>
      <c r="AJ11" s="44">
        <f>INDEX(MINVERSE(X10:AA13),2,4)</f>
        <v>-0.0013106150485777204</v>
      </c>
      <c r="AK11" s="37"/>
      <c r="AL11" s="45">
        <f>INDEX((MMULT(AG10:AJ13,AE10:AE13)),2,1)</f>
        <v>0.001641346875243086</v>
      </c>
    </row>
    <row r="12" spans="1:38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5" t="s">
        <v>24</v>
      </c>
      <c r="M12" s="22">
        <f>EXP(-M5)</f>
        <v>0.019475326415859067</v>
      </c>
      <c r="N12" s="42"/>
      <c r="O12" s="42"/>
      <c r="P12" s="7"/>
      <c r="Q12" s="47" t="s">
        <v>38</v>
      </c>
      <c r="R12" s="57">
        <v>0.0117331</v>
      </c>
      <c r="S12" s="57">
        <v>-0.0120039</v>
      </c>
      <c r="T12" s="57">
        <v>-30.9218</v>
      </c>
      <c r="U12" s="57">
        <v>31.6356</v>
      </c>
      <c r="V12" s="7"/>
      <c r="W12" s="39" t="s">
        <v>75</v>
      </c>
      <c r="X12" s="24">
        <f>R20</f>
        <v>0.000209674</v>
      </c>
      <c r="Y12" s="24">
        <f>S20</f>
        <v>-0.000219466</v>
      </c>
      <c r="Z12" s="24">
        <f>T20</f>
        <v>-1524.31</v>
      </c>
      <c r="AA12" s="24">
        <f>U20</f>
        <v>-1456.28</v>
      </c>
      <c r="AB12" s="35" t="s">
        <v>64</v>
      </c>
      <c r="AC12" s="17" t="s">
        <v>29</v>
      </c>
      <c r="AD12" s="35" t="s">
        <v>63</v>
      </c>
      <c r="AE12" s="25">
        <v>0</v>
      </c>
      <c r="AF12" s="40"/>
      <c r="AG12" s="44">
        <f>INDEX(MINVERSE(X10:AA13),3,1)</f>
        <v>-5.088199379896156E-07</v>
      </c>
      <c r="AH12" s="44">
        <f>INDEX(MINVERSE(X10:AA13),3,2)</f>
        <v>-4.934498577145456E-07</v>
      </c>
      <c r="AI12" s="44">
        <f>INDEX(MINVERSE(X10:AA13),3,3)</f>
        <v>-0.0006706574946940845</v>
      </c>
      <c r="AJ12" s="44">
        <f>INDEX(MINVERSE(X10:AA13),3,4)</f>
        <v>0.0004301732664636003</v>
      </c>
      <c r="AK12" s="37"/>
      <c r="AL12" s="45">
        <f>INDEX((MMULT(AG10:AJ13,AE10:AE13)),3,1)</f>
        <v>-4.723889007137556E-10</v>
      </c>
    </row>
    <row r="13" spans="1:38" ht="14.25">
      <c r="A13" s="7" t="s">
        <v>43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15" t="s">
        <v>25</v>
      </c>
      <c r="M13" s="22">
        <f>EXP(M6)</f>
        <v>2636.5165948030203</v>
      </c>
      <c r="N13" s="42"/>
      <c r="O13" s="42"/>
      <c r="P13" s="7"/>
      <c r="Q13" s="47" t="s">
        <v>39</v>
      </c>
      <c r="R13" s="57">
        <v>-0.015581</v>
      </c>
      <c r="S13" s="57">
        <v>0.000177764</v>
      </c>
      <c r="T13" s="57">
        <v>0.468496</v>
      </c>
      <c r="U13" s="57">
        <v>41.0627</v>
      </c>
      <c r="V13" s="7"/>
      <c r="W13" s="39" t="s">
        <v>76</v>
      </c>
      <c r="X13" s="24">
        <f>R19</f>
        <v>7.46023E-06</v>
      </c>
      <c r="Y13" s="24">
        <f>S19</f>
        <v>0.00032689</v>
      </c>
      <c r="Z13" s="24">
        <f>T19</f>
        <v>-51.8145</v>
      </c>
      <c r="AA13" s="24">
        <f>U19</f>
        <v>-2270.4</v>
      </c>
      <c r="AB13" s="35" t="s">
        <v>64</v>
      </c>
      <c r="AC13" s="17" t="s">
        <v>30</v>
      </c>
      <c r="AD13" s="35" t="s">
        <v>63</v>
      </c>
      <c r="AE13" s="25">
        <v>0</v>
      </c>
      <c r="AF13" s="40"/>
      <c r="AG13" s="44">
        <f>INDEX(MINVERSE(X10:AA13),4,1)</f>
        <v>2.6615686344486133E-07</v>
      </c>
      <c r="AH13" s="44">
        <f>INDEX(MINVERSE(X10:AA13),4,2)</f>
        <v>1.745315325050929E-07</v>
      </c>
      <c r="AI13" s="44">
        <f>INDEX(MINVERSE(X10:AA13),4,3)</f>
        <v>1.5305770446321206E-05</v>
      </c>
      <c r="AJ13" s="44">
        <f>INDEX(MINVERSE(X10:AA13),4,4)</f>
        <v>-0.0004502685156505197</v>
      </c>
      <c r="AK13" s="37"/>
      <c r="AL13" s="45">
        <f>INDEX((MMULT(AG10:AJ13,AE10:AE13)),4,1)</f>
        <v>2.471002780215448E-10</v>
      </c>
    </row>
    <row r="14" spans="1:38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5" t="s">
        <v>26</v>
      </c>
      <c r="M14" s="22">
        <f>EXP(-M6)</f>
        <v>0.000379288339004258</v>
      </c>
      <c r="N14" s="42"/>
      <c r="O14" s="42"/>
      <c r="P14" s="7"/>
      <c r="Q14" s="46"/>
      <c r="R14" s="20"/>
      <c r="S14" s="20"/>
      <c r="T14" s="20"/>
      <c r="U14" s="20"/>
      <c r="V14" s="7"/>
      <c r="W14" s="7"/>
      <c r="X14" s="7"/>
      <c r="Y14" s="7"/>
      <c r="Z14" s="7"/>
      <c r="AA14" s="7"/>
      <c r="AB14" s="7"/>
      <c r="AC14" s="34"/>
      <c r="AD14" s="7"/>
      <c r="AE14" s="26"/>
      <c r="AF14" s="26"/>
      <c r="AG14" s="37"/>
      <c r="AH14" s="37"/>
      <c r="AI14" s="37"/>
      <c r="AJ14" s="37"/>
      <c r="AK14" s="37"/>
      <c r="AL14" s="37"/>
    </row>
    <row r="15" spans="1:38" ht="12.75">
      <c r="A15" s="11" t="s">
        <v>44</v>
      </c>
      <c r="B15" s="11" t="s">
        <v>45</v>
      </c>
      <c r="C15" s="11" t="s">
        <v>46</v>
      </c>
      <c r="D15" s="11" t="s">
        <v>47</v>
      </c>
      <c r="E15" s="9" t="s">
        <v>48</v>
      </c>
      <c r="F15" s="7"/>
      <c r="G15" s="7"/>
      <c r="H15" s="11" t="s">
        <v>80</v>
      </c>
      <c r="I15" s="7"/>
      <c r="J15" s="7"/>
      <c r="K15" s="7"/>
      <c r="L15" s="7"/>
      <c r="M15" s="7"/>
      <c r="N15" s="7"/>
      <c r="O15" s="7"/>
      <c r="P15" s="7"/>
      <c r="Q15" s="35"/>
      <c r="R15" s="8"/>
      <c r="S15" s="8"/>
      <c r="T15" s="8"/>
      <c r="U15" s="8"/>
      <c r="V15" s="7"/>
      <c r="W15" s="27" t="s">
        <v>53</v>
      </c>
      <c r="X15" s="7"/>
      <c r="Y15" s="7"/>
      <c r="Z15" s="7"/>
      <c r="AA15" s="7"/>
      <c r="AB15" s="7"/>
      <c r="AC15" s="34"/>
      <c r="AD15" s="7"/>
      <c r="AE15" s="26"/>
      <c r="AF15" s="26"/>
      <c r="AG15" s="37"/>
      <c r="AH15" s="37"/>
      <c r="AI15" s="37"/>
      <c r="AJ15" s="37"/>
      <c r="AK15" s="37"/>
      <c r="AL15" s="37"/>
    </row>
    <row r="16" spans="1:38" ht="12.75">
      <c r="A16" s="4" t="s">
        <v>3</v>
      </c>
      <c r="B16" s="4" t="s">
        <v>7</v>
      </c>
      <c r="C16" s="4" t="s">
        <v>69</v>
      </c>
      <c r="D16" s="4" t="s">
        <v>35</v>
      </c>
      <c r="E16" s="2" t="s">
        <v>35</v>
      </c>
      <c r="F16" s="7"/>
      <c r="G16" s="7"/>
      <c r="H16" s="4" t="s">
        <v>14</v>
      </c>
      <c r="I16" s="7"/>
      <c r="J16" s="7"/>
      <c r="K16" s="7"/>
      <c r="L16" s="33" t="s">
        <v>56</v>
      </c>
      <c r="M16" s="7"/>
      <c r="N16" s="7"/>
      <c r="O16" s="7"/>
      <c r="P16" s="7"/>
      <c r="Q16" s="35"/>
      <c r="R16" s="8"/>
      <c r="S16" s="8"/>
      <c r="T16" s="8"/>
      <c r="U16" s="8"/>
      <c r="V16" s="7"/>
      <c r="W16" s="39" t="s">
        <v>72</v>
      </c>
      <c r="X16" s="23">
        <f>R6</f>
        <v>0.565634</v>
      </c>
      <c r="Y16" s="23">
        <f>S6</f>
        <v>0.565634</v>
      </c>
      <c r="Z16" s="23">
        <f>T6</f>
        <v>0.565634</v>
      </c>
      <c r="AA16" s="23">
        <f>U6</f>
        <v>-0.565634</v>
      </c>
      <c r="AB16" s="35" t="s">
        <v>64</v>
      </c>
      <c r="AC16" s="17" t="s">
        <v>27</v>
      </c>
      <c r="AD16" s="35" t="s">
        <v>63</v>
      </c>
      <c r="AE16" s="25">
        <f>(C11*1000/(E5*2*0.000001))</f>
        <v>0.0015473348737741368</v>
      </c>
      <c r="AF16" s="40"/>
      <c r="AG16" s="44">
        <f>INDEX(MINVERSE(X16:AA19),1,1)</f>
        <v>0.883636534533887</v>
      </c>
      <c r="AH16" s="44">
        <f>INDEX(MINVERSE(X16:AA19),1,2)</f>
        <v>0.7608578017053994</v>
      </c>
      <c r="AI16" s="44">
        <f>INDEX(MINVERSE(X16:AA19),1,3)</f>
        <v>-0.024599691766396765</v>
      </c>
      <c r="AJ16" s="44">
        <f>INDEX(MINVERSE(X16:AA19),1,4)</f>
        <v>0.0319424183398177</v>
      </c>
      <c r="AK16" s="37"/>
      <c r="AL16" s="45">
        <f>INDEX((MMULT(AG16:AJ19,AE16:AE19)),1,1)</f>
        <v>0.0013672816256252078</v>
      </c>
    </row>
    <row r="17" spans="1:38" ht="12.75">
      <c r="A17" s="49">
        <v>6</v>
      </c>
      <c r="B17" s="51">
        <f>1000*((0.001*($A$11/$G$5))+EXP(-$H$5*A17)*($M$17*SIN($H$5*A17)+$M$18*COS($H$5*A17))+EXP($H$5*A17)*($M$19*SIN($H$5*A17)+$M$20*COS($H$5*A17)))</f>
        <v>1.8834087400644195</v>
      </c>
      <c r="C17" s="51">
        <f>-((0.001)*(0.000001)*$E$5)*(2*$M$3*(EXP($H$5*A17))*($M$19*COS($H$5*A17)-$M$20*SIN($H$5*A17))+2*$M$3*(EXP(-$H$5*A17))*($M$18*SIN($H$5*A17)-$M$17*COS($H$5*A17)))</f>
        <v>0.04952267790261338</v>
      </c>
      <c r="D17" s="51">
        <f>((0.001)*(0.000001)*$E$5)*(2*$M$4*EXP($H$5*A17)*(($M$19-$M$20)*COS($H$5*A17)-($M$19+$M$20)*SIN($H$5*A17))+2*$M$4*EXP(-$H$5*A17)*(($M$17+$M$18)*COS($H$5*A17)+($M$17-$M$18)*SIN($H$5*A17)))</f>
        <v>-157.58720779418752</v>
      </c>
      <c r="E17" s="62">
        <v>0</v>
      </c>
      <c r="F17" s="7"/>
      <c r="G17" s="7"/>
      <c r="H17" s="51">
        <f>B17*$F$5</f>
        <v>0.16950678660579774</v>
      </c>
      <c r="I17" s="7"/>
      <c r="J17" s="7"/>
      <c r="K17" s="7"/>
      <c r="L17" s="15" t="s">
        <v>65</v>
      </c>
      <c r="M17" s="36">
        <f>AL43</f>
        <v>0.0013901200021977519</v>
      </c>
      <c r="N17" s="43"/>
      <c r="O17" s="43"/>
      <c r="P17" s="7"/>
      <c r="Q17" s="35"/>
      <c r="R17" s="48" t="s">
        <v>59</v>
      </c>
      <c r="S17" s="48" t="s">
        <v>60</v>
      </c>
      <c r="T17" s="48" t="s">
        <v>61</v>
      </c>
      <c r="U17" s="48" t="s">
        <v>62</v>
      </c>
      <c r="V17" s="7"/>
      <c r="W17" s="39" t="s">
        <v>74</v>
      </c>
      <c r="X17" s="23">
        <f>R4</f>
        <v>0.6564</v>
      </c>
      <c r="Y17" s="23">
        <f>S4</f>
        <v>-0.6564</v>
      </c>
      <c r="Z17" s="23">
        <f>T4</f>
        <v>0.6564</v>
      </c>
      <c r="AA17" s="23">
        <f>U4</f>
        <v>0.6564</v>
      </c>
      <c r="AB17" s="35" t="s">
        <v>64</v>
      </c>
      <c r="AC17" s="17" t="s">
        <v>28</v>
      </c>
      <c r="AD17" s="35" t="s">
        <v>63</v>
      </c>
      <c r="AE17" s="25">
        <v>0</v>
      </c>
      <c r="AF17" s="40"/>
      <c r="AG17" s="44">
        <f>INDEX(MINVERSE(X16:AA19),2,1)</f>
        <v>0.8842915635152737</v>
      </c>
      <c r="AH17" s="44">
        <f>INDEX(MINVERSE(X16:AA19),2,2)</f>
        <v>-0.7614486112436273</v>
      </c>
      <c r="AI17" s="44">
        <f>INDEX(MINVERSE(X16:AA19),2,3)</f>
        <v>0.024062898384463995</v>
      </c>
      <c r="AJ17" s="44">
        <f>INDEX(MINVERSE(X16:AA19),2,4)</f>
        <v>0.0003765588503453612</v>
      </c>
      <c r="AK17" s="37"/>
      <c r="AL17" s="45">
        <f>INDEX((MMULT(AG16:AJ19,AE16:AE19)),2,1)</f>
        <v>0.0013682951748114401</v>
      </c>
    </row>
    <row r="18" spans="1:38" ht="12.75">
      <c r="A18" s="49">
        <f>A17-0.1</f>
        <v>5.9</v>
      </c>
      <c r="B18" s="51">
        <f aca="true" t="shared" si="0" ref="B18:B81">1000*((0.001*($A$11/$G$5))+EXP(-$H$5*A18)*($M$17*SIN($H$5*A18)+$M$18*COS($H$5*A18))+EXP($H$5*A18)*($M$19*SIN($H$5*A18)+$M$20*COS($H$5*A18)))</f>
        <v>1.7758603482872248</v>
      </c>
      <c r="C18" s="51">
        <f aca="true" t="shared" si="1" ref="C18:C81">-((0.001)*(0.000001)*$E$5)*(2*$M$3*(EXP($H$5*A18))*($M$19*COS($H$5*A18)-$M$20*SIN($H$5*A18))+2*$M$3*(EXP(-$H$5*A18))*($M$18*SIN($H$5*A18)-$M$17*COS($H$5*A18)))</f>
        <v>-14.745257560561539</v>
      </c>
      <c r="D18" s="51">
        <f aca="true" t="shared" si="2" ref="D18:D76">((0.001)*(0.000001)*$E$5)*(2*$M$4*EXP($H$5*A18)*(($M$19-$M$20)*COS($H$5*A18)-($M$19+$M$20)*SIN($H$5*A18))+2*$M$4*EXP(-$H$5*A18)*(($M$17+$M$18)*COS($H$5*A18)+($M$17-$M$18)*SIN($H$5*A18)))</f>
        <v>-138.5342791144762</v>
      </c>
      <c r="E18" s="62">
        <v>0</v>
      </c>
      <c r="F18" s="7"/>
      <c r="G18" s="7"/>
      <c r="H18" s="51">
        <f aca="true" t="shared" si="3" ref="H18:H81">B18*$F$5</f>
        <v>0.15982743134585023</v>
      </c>
      <c r="I18" s="7"/>
      <c r="J18" s="7"/>
      <c r="K18" s="7"/>
      <c r="L18" s="15" t="s">
        <v>66</v>
      </c>
      <c r="M18" s="36">
        <f>AL44</f>
        <v>0.0013459551577108214</v>
      </c>
      <c r="N18" s="43"/>
      <c r="O18" s="43"/>
      <c r="P18" s="7"/>
      <c r="Q18" s="47" t="s">
        <v>40</v>
      </c>
      <c r="R18" s="57">
        <v>-0.000254686</v>
      </c>
      <c r="S18" s="57">
        <v>-0.00024332</v>
      </c>
      <c r="T18" s="57">
        <v>1690</v>
      </c>
      <c r="U18" s="57">
        <v>-1768.91</v>
      </c>
      <c r="V18" s="7"/>
      <c r="W18" s="39" t="s">
        <v>77</v>
      </c>
      <c r="X18" s="23">
        <f>R13</f>
        <v>-0.015581</v>
      </c>
      <c r="Y18" s="23">
        <f>S13</f>
        <v>0.000177764</v>
      </c>
      <c r="Z18" s="23">
        <f>T13</f>
        <v>0.468496</v>
      </c>
      <c r="AA18" s="23">
        <f>U13</f>
        <v>41.0627</v>
      </c>
      <c r="AB18" s="35" t="s">
        <v>64</v>
      </c>
      <c r="AC18" s="17" t="s">
        <v>29</v>
      </c>
      <c r="AD18" s="35" t="s">
        <v>63</v>
      </c>
      <c r="AE18" s="25">
        <v>0</v>
      </c>
      <c r="AF18" s="40"/>
      <c r="AG18" s="44">
        <f>INDEX(MINVERSE(X16:AA19),3,1)</f>
        <v>0.00032730073768430084</v>
      </c>
      <c r="AH18" s="44">
        <f>INDEX(MINVERSE(X16:AA19),3,2)</f>
        <v>0.0008728503360387283</v>
      </c>
      <c r="AI18" s="44">
        <f>INDEX(MINVERSE(X16:AA19),3,3)</f>
        <v>0.024599691766396765</v>
      </c>
      <c r="AJ18" s="44">
        <f>INDEX(MINVERSE(X16:AA19),3,4)</f>
        <v>-0.0319424183398177</v>
      </c>
      <c r="AK18" s="37"/>
      <c r="AL18" s="45">
        <f>INDEX((MMULT(AG16:AJ19,AE16:AE19)),3,1)</f>
        <v>5.064438456309195E-07</v>
      </c>
    </row>
    <row r="19" spans="1:38" ht="12.75">
      <c r="A19" s="49">
        <f aca="true" t="shared" si="4" ref="A19:A77">A18-0.1</f>
        <v>5.800000000000001</v>
      </c>
      <c r="B19" s="51">
        <f t="shared" si="0"/>
        <v>1.669172105083769</v>
      </c>
      <c r="C19" s="51">
        <f t="shared" si="1"/>
        <v>-27.70236287589724</v>
      </c>
      <c r="D19" s="51">
        <f t="shared" si="2"/>
        <v>-120.83189922833523</v>
      </c>
      <c r="E19" s="62">
        <v>0</v>
      </c>
      <c r="F19" s="7"/>
      <c r="G19" s="7"/>
      <c r="H19" s="51">
        <f t="shared" si="3"/>
        <v>0.1502254894575392</v>
      </c>
      <c r="I19" s="7"/>
      <c r="J19" s="7"/>
      <c r="K19" s="7"/>
      <c r="L19" s="15" t="s">
        <v>67</v>
      </c>
      <c r="M19" s="36">
        <f>AL45</f>
        <v>-2.233193272691321E-05</v>
      </c>
      <c r="N19" s="43"/>
      <c r="O19" s="43"/>
      <c r="P19" s="7"/>
      <c r="Q19" s="47" t="s">
        <v>41</v>
      </c>
      <c r="R19" s="57">
        <v>7.46023E-06</v>
      </c>
      <c r="S19" s="57">
        <v>0.00032689</v>
      </c>
      <c r="T19" s="57">
        <v>-51.8145</v>
      </c>
      <c r="U19" s="57">
        <v>-2270.4</v>
      </c>
      <c r="V19" s="7"/>
      <c r="W19" s="39" t="s">
        <v>78</v>
      </c>
      <c r="X19" s="23">
        <f>R12</f>
        <v>0.0117331</v>
      </c>
      <c r="Y19" s="23">
        <f>S12</f>
        <v>-0.0120039</v>
      </c>
      <c r="Z19" s="23">
        <f>T12</f>
        <v>-30.9218</v>
      </c>
      <c r="AA19" s="23">
        <f>U12</f>
        <v>31.6356</v>
      </c>
      <c r="AB19" s="35" t="s">
        <v>64</v>
      </c>
      <c r="AC19" s="17" t="s">
        <v>30</v>
      </c>
      <c r="AD19" s="35" t="s">
        <v>63</v>
      </c>
      <c r="AE19" s="25">
        <v>0</v>
      </c>
      <c r="AF19" s="40"/>
      <c r="AG19" s="44">
        <f>INDEX(MINVERSE(X16:AA19),4,1)</f>
        <v>0.00032772824370228026</v>
      </c>
      <c r="AH19" s="44">
        <f>INDEX(MINVERSE(X16:AA19),4,2)</f>
        <v>0.00028204079781086344</v>
      </c>
      <c r="AI19" s="44">
        <f>INDEX(MINVERSE(X16:AA19),4,3)</f>
        <v>0.024062898384463995</v>
      </c>
      <c r="AJ19" s="44">
        <f>INDEX(MINVERSE(X16:AA19),4,4)</f>
        <v>0.0003765588503453612</v>
      </c>
      <c r="AK19" s="37"/>
      <c r="AL19" s="45">
        <f>INDEX((MMULT(AG16:AJ19,AE16:AE19)),4,1)</f>
        <v>5.071053406012874E-07</v>
      </c>
    </row>
    <row r="20" spans="1:38" ht="12.75">
      <c r="A20" s="49">
        <f t="shared" si="4"/>
        <v>5.700000000000001</v>
      </c>
      <c r="B20" s="51">
        <f t="shared" si="0"/>
        <v>1.5641084413278277</v>
      </c>
      <c r="C20" s="51">
        <f t="shared" si="1"/>
        <v>-38.956140230886824</v>
      </c>
      <c r="D20" s="51">
        <f t="shared" si="2"/>
        <v>-104.46430477665687</v>
      </c>
      <c r="E20" s="62">
        <v>0</v>
      </c>
      <c r="F20" s="7"/>
      <c r="G20" s="7"/>
      <c r="H20" s="51">
        <f t="shared" si="3"/>
        <v>0.14076975971950448</v>
      </c>
      <c r="I20" s="7"/>
      <c r="J20" s="7"/>
      <c r="K20" s="7"/>
      <c r="L20" s="15" t="s">
        <v>68</v>
      </c>
      <c r="M20" s="36">
        <f>AL46</f>
        <v>-2.18329117600174E-05</v>
      </c>
      <c r="N20" s="43"/>
      <c r="O20" s="43"/>
      <c r="P20" s="7"/>
      <c r="Q20" s="47" t="s">
        <v>42</v>
      </c>
      <c r="R20" s="57">
        <v>0.000209674</v>
      </c>
      <c r="S20" s="57">
        <v>-0.000219466</v>
      </c>
      <c r="T20" s="57">
        <v>-1524.31</v>
      </c>
      <c r="U20" s="57">
        <v>-1456.28</v>
      </c>
      <c r="V20" s="7"/>
      <c r="W20" s="7"/>
      <c r="X20" s="7"/>
      <c r="Y20" s="7"/>
      <c r="Z20" s="7"/>
      <c r="AA20" s="7"/>
      <c r="AB20" s="7"/>
      <c r="AC20" s="34"/>
      <c r="AD20" s="7"/>
      <c r="AE20" s="26"/>
      <c r="AF20" s="26"/>
      <c r="AG20" s="37"/>
      <c r="AH20" s="37"/>
      <c r="AI20" s="37"/>
      <c r="AJ20" s="37"/>
      <c r="AK20" s="37"/>
      <c r="AL20" s="37"/>
    </row>
    <row r="21" spans="1:38" ht="12.75">
      <c r="A21" s="49">
        <f t="shared" si="4"/>
        <v>5.600000000000001</v>
      </c>
      <c r="B21" s="51">
        <f t="shared" si="0"/>
        <v>1.4613333733348366</v>
      </c>
      <c r="C21" s="51">
        <f t="shared" si="1"/>
        <v>-48.638900161105674</v>
      </c>
      <c r="D21" s="51">
        <f t="shared" si="2"/>
        <v>-89.40674144077377</v>
      </c>
      <c r="E21" s="62">
        <v>0</v>
      </c>
      <c r="F21" s="7"/>
      <c r="G21" s="7"/>
      <c r="H21" s="51">
        <f t="shared" si="3"/>
        <v>0.1315200036001353</v>
      </c>
      <c r="I21" s="7"/>
      <c r="J21" s="7"/>
      <c r="K21" s="7"/>
      <c r="L21" s="16"/>
      <c r="M21" s="7"/>
      <c r="N21" s="7"/>
      <c r="O21" s="7"/>
      <c r="P21" s="7"/>
      <c r="Q21" s="18"/>
      <c r="R21" s="19"/>
      <c r="S21" s="19"/>
      <c r="T21" s="19"/>
      <c r="U21" s="19"/>
      <c r="V21" s="7"/>
      <c r="W21" s="27" t="s">
        <v>54</v>
      </c>
      <c r="X21" s="7"/>
      <c r="Y21" s="7"/>
      <c r="Z21" s="7"/>
      <c r="AA21" s="7"/>
      <c r="AB21" s="7"/>
      <c r="AC21" s="34"/>
      <c r="AD21" s="7"/>
      <c r="AE21" s="26"/>
      <c r="AF21" s="26"/>
      <c r="AG21" s="37"/>
      <c r="AH21" s="37"/>
      <c r="AI21" s="37"/>
      <c r="AJ21" s="37"/>
      <c r="AK21" s="37"/>
      <c r="AL21" s="37"/>
    </row>
    <row r="22" spans="1:38" ht="12.75">
      <c r="A22" s="49">
        <f t="shared" si="4"/>
        <v>5.500000000000002</v>
      </c>
      <c r="B22" s="51">
        <f t="shared" si="0"/>
        <v>1.361418297939255</v>
      </c>
      <c r="C22" s="51">
        <f t="shared" si="1"/>
        <v>-56.88007929562254</v>
      </c>
      <c r="D22" s="51">
        <f t="shared" si="2"/>
        <v>-75.62667990419588</v>
      </c>
      <c r="E22" s="62">
        <v>0</v>
      </c>
      <c r="F22" s="7"/>
      <c r="G22" s="7"/>
      <c r="H22" s="51">
        <f t="shared" si="3"/>
        <v>0.12252764681453295</v>
      </c>
      <c r="I22" s="7"/>
      <c r="J22" s="7"/>
      <c r="K22" s="7"/>
      <c r="L22" s="33" t="s">
        <v>82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39" t="s">
        <v>73</v>
      </c>
      <c r="X22" s="23">
        <f>R6</f>
        <v>0.565634</v>
      </c>
      <c r="Y22" s="23">
        <f>S6</f>
        <v>0.565634</v>
      </c>
      <c r="Z22" s="23">
        <f>T6</f>
        <v>0.565634</v>
      </c>
      <c r="AA22" s="23">
        <f>U6</f>
        <v>-0.565634</v>
      </c>
      <c r="AB22" s="35" t="s">
        <v>64</v>
      </c>
      <c r="AC22" s="17" t="s">
        <v>27</v>
      </c>
      <c r="AD22" s="35" t="s">
        <v>63</v>
      </c>
      <c r="AE22" s="25">
        <v>0</v>
      </c>
      <c r="AF22" s="40"/>
      <c r="AG22" s="44">
        <f>INDEX(MINVERSE(X22:AA25),1,1)</f>
        <v>-5.088199379896156E-07</v>
      </c>
      <c r="AH22" s="44">
        <f>INDEX(MINVERSE(X22:AA25),1,2)</f>
        <v>-1.1604689049194632</v>
      </c>
      <c r="AI22" s="44">
        <f>INDEX(MINVERSE(X22:AA25),1,3)</f>
        <v>-0.0006706574946940845</v>
      </c>
      <c r="AJ22" s="44">
        <f>INDEX(MINVERSE(X22:AA25),1,4)</f>
        <v>0.0004301732664636003</v>
      </c>
      <c r="AK22" s="37"/>
      <c r="AL22" s="45">
        <f>INDEX((MMULT(AG22:AJ25,AE22:AE25)),1,1)</f>
        <v>6.226390379388901E-07</v>
      </c>
    </row>
    <row r="23" spans="1:38" ht="14.25">
      <c r="A23" s="49">
        <f t="shared" si="4"/>
        <v>5.400000000000002</v>
      </c>
      <c r="B23" s="51">
        <f t="shared" si="0"/>
        <v>1.2648496187396623</v>
      </c>
      <c r="C23" s="51">
        <f t="shared" si="1"/>
        <v>-63.805519596009525</v>
      </c>
      <c r="D23" s="51">
        <f t="shared" si="2"/>
        <v>-63.084934611852766</v>
      </c>
      <c r="E23" s="62">
        <v>0</v>
      </c>
      <c r="F23" s="7"/>
      <c r="G23" s="7"/>
      <c r="H23" s="51">
        <f t="shared" si="3"/>
        <v>0.1138364656865696</v>
      </c>
      <c r="I23" s="7"/>
      <c r="J23" s="7"/>
      <c r="K23" s="7"/>
      <c r="L23" s="3" t="s">
        <v>96</v>
      </c>
      <c r="M23" s="11" t="s">
        <v>84</v>
      </c>
      <c r="N23" s="9" t="s">
        <v>85</v>
      </c>
      <c r="O23" s="11" t="s">
        <v>83</v>
      </c>
      <c r="P23" s="11" t="s">
        <v>95</v>
      </c>
      <c r="Q23" s="7"/>
      <c r="R23" s="7"/>
      <c r="S23" s="7"/>
      <c r="T23" s="7"/>
      <c r="U23" s="7"/>
      <c r="V23" s="7"/>
      <c r="W23" s="39" t="s">
        <v>74</v>
      </c>
      <c r="X23" s="23">
        <f>R5</f>
        <v>-0.861721</v>
      </c>
      <c r="Y23" s="23">
        <f>S5</f>
        <v>0</v>
      </c>
      <c r="Z23" s="23">
        <f>T5</f>
        <v>0.861721</v>
      </c>
      <c r="AA23" s="23">
        <f>U5</f>
        <v>0</v>
      </c>
      <c r="AB23" s="35" t="s">
        <v>64</v>
      </c>
      <c r="AC23" s="17" t="s">
        <v>28</v>
      </c>
      <c r="AD23" s="35" t="s">
        <v>63</v>
      </c>
      <c r="AE23" s="25">
        <v>0</v>
      </c>
      <c r="AF23" s="40"/>
      <c r="AG23" s="44">
        <f>INDEX(MINVERSE(X22:AA25),2,1)</f>
        <v>1.7679289543398822</v>
      </c>
      <c r="AH23" s="44">
        <f>INDEX(MINVERSE(X22:AA25),2,2)</f>
        <v>1.1604695729008536</v>
      </c>
      <c r="AI23" s="44">
        <f>INDEX(MINVERSE(X22:AA25),2,3)</f>
        <v>0.0013566207598344903</v>
      </c>
      <c r="AJ23" s="44">
        <f>INDEX(MINVERSE(X22:AA25),2,4)</f>
        <v>-0.0013106150485777204</v>
      </c>
      <c r="AK23" s="37"/>
      <c r="AL23" s="45">
        <f>INDEX((MMULT(AG22:AJ25,AE22:AE25)),2,1)</f>
        <v>-1.2594879673067249E-06</v>
      </c>
    </row>
    <row r="24" spans="1:38" ht="12.75">
      <c r="A24" s="49">
        <f t="shared" si="4"/>
        <v>5.3000000000000025</v>
      </c>
      <c r="B24" s="51">
        <f t="shared" si="0"/>
        <v>1.1720361609783616</v>
      </c>
      <c r="C24" s="51">
        <f t="shared" si="1"/>
        <v>-69.53685470905556</v>
      </c>
      <c r="D24" s="51">
        <f t="shared" si="2"/>
        <v>-51.736687729014484</v>
      </c>
      <c r="E24" s="62">
        <v>0</v>
      </c>
      <c r="F24" s="7"/>
      <c r="G24" s="7"/>
      <c r="H24" s="51">
        <f t="shared" si="3"/>
        <v>0.10548325448805254</v>
      </c>
      <c r="I24" s="7"/>
      <c r="J24" s="7"/>
      <c r="K24" s="7"/>
      <c r="L24" s="4" t="s">
        <v>81</v>
      </c>
      <c r="M24" s="4" t="s">
        <v>69</v>
      </c>
      <c r="N24" s="56" t="s">
        <v>69</v>
      </c>
      <c r="O24" s="4" t="s">
        <v>69</v>
      </c>
      <c r="P24" s="4" t="s">
        <v>92</v>
      </c>
      <c r="Q24" s="28"/>
      <c r="R24" s="19"/>
      <c r="S24" s="19"/>
      <c r="T24" s="19"/>
      <c r="U24" s="19"/>
      <c r="V24" s="7"/>
      <c r="W24" s="39" t="s">
        <v>71</v>
      </c>
      <c r="X24" s="23">
        <f>R20</f>
        <v>0.000209674</v>
      </c>
      <c r="Y24" s="23">
        <f>S20</f>
        <v>-0.000219466</v>
      </c>
      <c r="Z24" s="23">
        <f>T20</f>
        <v>-1524.31</v>
      </c>
      <c r="AA24" s="23">
        <f>U20</f>
        <v>-1456.28</v>
      </c>
      <c r="AB24" s="35" t="s">
        <v>64</v>
      </c>
      <c r="AC24" s="17" t="s">
        <v>29</v>
      </c>
      <c r="AD24" s="35" t="s">
        <v>63</v>
      </c>
      <c r="AE24" s="25">
        <f>-(D11*1000/(E5*0.000001))</f>
        <v>-0.0009284009242644821</v>
      </c>
      <c r="AF24" s="40"/>
      <c r="AG24" s="44">
        <f>INDEX(MINVERSE(X22:AA25),3,1)</f>
        <v>-5.088199379896156E-07</v>
      </c>
      <c r="AH24" s="44">
        <f>INDEX(MINVERSE(X22:AA25),3,2)</f>
        <v>-4.934498577145456E-07</v>
      </c>
      <c r="AI24" s="44">
        <f>INDEX(MINVERSE(X22:AA25),3,3)</f>
        <v>-0.0006706574946940845</v>
      </c>
      <c r="AJ24" s="44">
        <f>INDEX(MINVERSE(X22:AA25),3,4)</f>
        <v>0.0004301732664636003</v>
      </c>
      <c r="AK24" s="37"/>
      <c r="AL24" s="45">
        <f>INDEX((MMULT(AG22:AJ25,AE22:AE25)),3,1)</f>
        <v>6.226390379388901E-07</v>
      </c>
    </row>
    <row r="25" spans="1:38" ht="12.75">
      <c r="A25" s="49">
        <f t="shared" si="4"/>
        <v>5.200000000000003</v>
      </c>
      <c r="B25" s="51">
        <f t="shared" si="0"/>
        <v>1.0833163388374827</v>
      </c>
      <c r="C25" s="51">
        <f t="shared" si="1"/>
        <v>-74.19099409423555</v>
      </c>
      <c r="D25" s="51">
        <f t="shared" si="2"/>
        <v>-41.532421197606574</v>
      </c>
      <c r="E25" s="62">
        <v>0</v>
      </c>
      <c r="F25" s="7"/>
      <c r="G25" s="7"/>
      <c r="H25" s="51">
        <f t="shared" si="3"/>
        <v>0.09749847049537344</v>
      </c>
      <c r="I25" s="7"/>
      <c r="J25" s="7"/>
      <c r="K25" s="7"/>
      <c r="L25" s="54">
        <f>((1000*1000*O25)/C5)*0.5*B5</f>
        <v>7.224679295423285</v>
      </c>
      <c r="M25" s="13">
        <f>MAX(C17:C137)</f>
        <v>206.50541652751556</v>
      </c>
      <c r="N25" s="55">
        <f>MIN(C17:C137)</f>
        <v>-85.35460420730595</v>
      </c>
      <c r="O25" s="13">
        <f>MAX(M25,ABS(N25))</f>
        <v>206.50541652751556</v>
      </c>
      <c r="P25" s="13">
        <f>A5*B5</f>
        <v>490000</v>
      </c>
      <c r="Q25" s="19"/>
      <c r="R25" s="19"/>
      <c r="S25" s="19"/>
      <c r="T25" s="19"/>
      <c r="U25" s="19"/>
      <c r="V25" s="7"/>
      <c r="W25" s="39" t="s">
        <v>76</v>
      </c>
      <c r="X25" s="23">
        <f>R19</f>
        <v>7.46023E-06</v>
      </c>
      <c r="Y25" s="23">
        <f>S19</f>
        <v>0.00032689</v>
      </c>
      <c r="Z25" s="23">
        <f>T19</f>
        <v>-51.8145</v>
      </c>
      <c r="AA25" s="23">
        <f>U19</f>
        <v>-2270.4</v>
      </c>
      <c r="AB25" s="35" t="s">
        <v>64</v>
      </c>
      <c r="AC25" s="17" t="s">
        <v>30</v>
      </c>
      <c r="AD25" s="35" t="s">
        <v>63</v>
      </c>
      <c r="AE25" s="25">
        <v>0</v>
      </c>
      <c r="AF25" s="40"/>
      <c r="AG25" s="44">
        <f>INDEX(MINVERSE(X22:AA25),4,1)</f>
        <v>2.6615686344486133E-07</v>
      </c>
      <c r="AH25" s="44">
        <f>INDEX(MINVERSE(X22:AA25),4,2)</f>
        <v>1.745315325050929E-07</v>
      </c>
      <c r="AI25" s="44">
        <f>INDEX(MINVERSE(X22:AA25),4,3)</f>
        <v>1.5305770446321206E-05</v>
      </c>
      <c r="AJ25" s="44">
        <f>INDEX(MINVERSE(X22:AA25),4,4)</f>
        <v>-0.0004502685156505197</v>
      </c>
      <c r="AK25" s="37"/>
      <c r="AL25" s="45">
        <f>INDEX((MMULT(AG22:AJ25,AE22:AE25)),4,1)</f>
        <v>-1.4209891428944603E-08</v>
      </c>
    </row>
    <row r="26" spans="1:38" ht="12.75">
      <c r="A26" s="49">
        <f t="shared" si="4"/>
        <v>5.100000000000003</v>
      </c>
      <c r="B26" s="51">
        <f t="shared" si="0"/>
        <v>0.9989650446985705</v>
      </c>
      <c r="C26" s="51">
        <f t="shared" si="1"/>
        <v>-77.87969589833673</v>
      </c>
      <c r="D26" s="51">
        <f t="shared" si="2"/>
        <v>-32.418760207096774</v>
      </c>
      <c r="E26" s="62">
        <v>0</v>
      </c>
      <c r="F26" s="7"/>
      <c r="G26" s="7"/>
      <c r="H26" s="51">
        <f t="shared" si="3"/>
        <v>0.08990685402287134</v>
      </c>
      <c r="I26" s="7"/>
      <c r="J26" s="7"/>
      <c r="K26" s="7"/>
      <c r="L26" s="7"/>
      <c r="M26" s="7"/>
      <c r="N26" s="7"/>
      <c r="O26" s="7"/>
      <c r="P26" s="7"/>
      <c r="Q26" s="20"/>
      <c r="R26" s="29"/>
      <c r="S26" s="29"/>
      <c r="T26" s="29"/>
      <c r="U26" s="29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60">
        <f>AL4+AL10+AL16+AL22</f>
        <v>0.001367903792274246</v>
      </c>
    </row>
    <row r="27" spans="1:38" ht="14.25">
      <c r="A27" s="49">
        <f t="shared" si="4"/>
        <v>5.0000000000000036</v>
      </c>
      <c r="B27" s="51">
        <f t="shared" si="0"/>
        <v>0.919200235145651</v>
      </c>
      <c r="C27" s="51">
        <f t="shared" si="1"/>
        <v>-80.70921989941999</v>
      </c>
      <c r="D27" s="51">
        <f t="shared" si="2"/>
        <v>-24.339231747321232</v>
      </c>
      <c r="E27" s="62">
        <v>0</v>
      </c>
      <c r="F27" s="7"/>
      <c r="G27" s="7"/>
      <c r="H27" s="51">
        <f t="shared" si="3"/>
        <v>0.08272802116310858</v>
      </c>
      <c r="I27" s="7"/>
      <c r="J27" s="7"/>
      <c r="K27" s="7"/>
      <c r="L27" s="3" t="s">
        <v>94</v>
      </c>
      <c r="M27" s="11" t="s">
        <v>86</v>
      </c>
      <c r="N27" s="11" t="s">
        <v>87</v>
      </c>
      <c r="O27" s="11" t="s">
        <v>88</v>
      </c>
      <c r="P27" s="11" t="s">
        <v>95</v>
      </c>
      <c r="Q27" s="29"/>
      <c r="R27" s="30"/>
      <c r="S27" s="30"/>
      <c r="T27" s="30"/>
      <c r="U27" s="30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60">
        <f>AL5+AL11+AL17+AL23</f>
        <v>0.0030083825620872196</v>
      </c>
    </row>
    <row r="28" spans="1:38" ht="12.75">
      <c r="A28" s="49">
        <f t="shared" si="4"/>
        <v>4.900000000000004</v>
      </c>
      <c r="B28" s="51">
        <f t="shared" si="0"/>
        <v>0.8441891932134179</v>
      </c>
      <c r="C28" s="51">
        <f t="shared" si="1"/>
        <v>-82.78005222390317</v>
      </c>
      <c r="D28" s="51">
        <f t="shared" si="2"/>
        <v>-17.23494219811834</v>
      </c>
      <c r="E28" s="62">
        <v>0</v>
      </c>
      <c r="F28" s="7"/>
      <c r="G28" s="7"/>
      <c r="H28" s="51">
        <f t="shared" si="3"/>
        <v>0.07597702738920761</v>
      </c>
      <c r="I28" s="7"/>
      <c r="J28" s="7"/>
      <c r="K28" s="7"/>
      <c r="L28" s="4" t="s">
        <v>81</v>
      </c>
      <c r="M28" s="4" t="s">
        <v>35</v>
      </c>
      <c r="N28" s="4" t="s">
        <v>35</v>
      </c>
      <c r="O28" s="4" t="s">
        <v>35</v>
      </c>
      <c r="P28" s="4" t="s">
        <v>92</v>
      </c>
      <c r="Q28" s="29"/>
      <c r="R28" s="30"/>
      <c r="S28" s="30"/>
      <c r="T28" s="30"/>
      <c r="U28" s="30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60">
        <f>AL6+AL12+AL18+AL24</f>
        <v>1.1286104946690957E-06</v>
      </c>
    </row>
    <row r="29" spans="1:38" ht="12.75">
      <c r="A29" s="49">
        <f t="shared" si="4"/>
        <v>4.800000000000004</v>
      </c>
      <c r="B29" s="51">
        <f t="shared" si="0"/>
        <v>0.7740544506149344</v>
      </c>
      <c r="C29" s="51">
        <f t="shared" si="1"/>
        <v>-84.1866939480378</v>
      </c>
      <c r="D29" s="51">
        <f t="shared" si="2"/>
        <v>-11.045178141751247</v>
      </c>
      <c r="E29" s="62">
        <v>0</v>
      </c>
      <c r="F29" s="7"/>
      <c r="G29" s="7"/>
      <c r="H29" s="51">
        <f t="shared" si="3"/>
        <v>0.06966490055534409</v>
      </c>
      <c r="I29" s="7"/>
      <c r="J29" s="7"/>
      <c r="K29" s="7"/>
      <c r="L29" s="54">
        <f>1000*O29/(P29)</f>
        <v>0</v>
      </c>
      <c r="M29" s="13">
        <f>MAX(E17:E137)</f>
        <v>0</v>
      </c>
      <c r="N29" s="55">
        <f>MIN(E17:E137)</f>
        <v>0</v>
      </c>
      <c r="O29" s="13">
        <f>MAX(M29,ABS(N29))</f>
        <v>0</v>
      </c>
      <c r="P29" s="13">
        <f>A5*B5</f>
        <v>490000</v>
      </c>
      <c r="Q29" s="29"/>
      <c r="R29" s="30"/>
      <c r="S29" s="30"/>
      <c r="T29" s="30"/>
      <c r="U29" s="30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60">
        <f>AL7+AL13+AL19+AL25</f>
        <v>4.931425494503643E-07</v>
      </c>
    </row>
    <row r="30" spans="1:38" ht="12.75">
      <c r="A30" s="49">
        <f t="shared" si="4"/>
        <v>4.700000000000005</v>
      </c>
      <c r="B30" s="51">
        <f t="shared" si="0"/>
        <v>0.7088793574510802</v>
      </c>
      <c r="C30" s="51">
        <f t="shared" si="1"/>
        <v>-85.0175061230835</v>
      </c>
      <c r="D30" s="51">
        <f t="shared" si="2"/>
        <v>-5.707934764832711</v>
      </c>
      <c r="E30" s="62">
        <v>0</v>
      </c>
      <c r="F30" s="7"/>
      <c r="G30" s="7"/>
      <c r="H30" s="51">
        <f t="shared" si="3"/>
        <v>0.06379914217059722</v>
      </c>
      <c r="I30" s="7"/>
      <c r="J30" s="7"/>
      <c r="K30" s="7"/>
      <c r="L30" s="7"/>
      <c r="M30" s="7"/>
      <c r="N30" s="7"/>
      <c r="O30" s="7"/>
      <c r="P30" s="7"/>
      <c r="Q30" s="29"/>
      <c r="R30" s="30"/>
      <c r="S30" s="30"/>
      <c r="T30" s="30"/>
      <c r="U30" s="30"/>
      <c r="V30" s="7"/>
      <c r="W30" s="7"/>
      <c r="X30" s="7" t="s">
        <v>50</v>
      </c>
      <c r="Y30" s="7"/>
      <c r="Z30" s="7"/>
      <c r="AA30" s="7"/>
      <c r="AB30" s="7"/>
      <c r="AC30" s="7"/>
      <c r="AD30" s="7"/>
      <c r="AE30" s="7"/>
      <c r="AF30" s="7"/>
      <c r="AG30" s="27" t="s">
        <v>55</v>
      </c>
      <c r="AH30" s="7"/>
      <c r="AI30" s="7"/>
      <c r="AJ30" s="7"/>
      <c r="AK30" s="7"/>
      <c r="AL30" s="7" t="s">
        <v>79</v>
      </c>
    </row>
    <row r="31" spans="1:38" ht="14.25">
      <c r="A31" s="49">
        <f t="shared" si="4"/>
        <v>4.600000000000005</v>
      </c>
      <c r="B31" s="51">
        <f t="shared" si="0"/>
        <v>0.648713290232112</v>
      </c>
      <c r="C31" s="51">
        <f t="shared" si="1"/>
        <v>-85.35460420730595</v>
      </c>
      <c r="D31" s="51">
        <f t="shared" si="2"/>
        <v>-1.1603763525238775</v>
      </c>
      <c r="E31" s="62">
        <v>0</v>
      </c>
      <c r="F31" s="7"/>
      <c r="G31" s="7"/>
      <c r="H31" s="51">
        <f t="shared" si="3"/>
        <v>0.058384196120890075</v>
      </c>
      <c r="I31" s="7"/>
      <c r="J31" s="7"/>
      <c r="K31" s="7"/>
      <c r="L31" s="3" t="s">
        <v>5</v>
      </c>
      <c r="M31" s="11" t="s">
        <v>89</v>
      </c>
      <c r="N31" s="9" t="s">
        <v>90</v>
      </c>
      <c r="O31" s="11" t="s">
        <v>91</v>
      </c>
      <c r="P31" s="11" t="s">
        <v>93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27"/>
      <c r="AH31" s="7"/>
      <c r="AI31" s="7"/>
      <c r="AJ31" s="7"/>
      <c r="AK31" s="7"/>
      <c r="AL31" s="7"/>
    </row>
    <row r="32" spans="1:38" ht="12.75">
      <c r="A32" s="49">
        <f t="shared" si="4"/>
        <v>4.500000000000005</v>
      </c>
      <c r="B32" s="51">
        <f t="shared" si="0"/>
        <v>0.5935764919562867</v>
      </c>
      <c r="C32" s="51">
        <f t="shared" si="1"/>
        <v>-85.27379534334636</v>
      </c>
      <c r="D32" s="51">
        <f t="shared" si="2"/>
        <v>2.660766525467003</v>
      </c>
      <c r="E32" s="62">
        <v>0</v>
      </c>
      <c r="F32" s="7"/>
      <c r="G32" s="7"/>
      <c r="H32" s="51">
        <f t="shared" si="3"/>
        <v>0.0534218842760658</v>
      </c>
      <c r="I32" s="7"/>
      <c r="J32" s="7"/>
      <c r="K32" s="7"/>
      <c r="L32" s="4" t="s">
        <v>81</v>
      </c>
      <c r="M32" s="4" t="s">
        <v>35</v>
      </c>
      <c r="N32" s="4" t="s">
        <v>35</v>
      </c>
      <c r="O32" s="4" t="s">
        <v>35</v>
      </c>
      <c r="P32" s="4" t="s">
        <v>92</v>
      </c>
      <c r="Q32" s="7"/>
      <c r="R32" s="7"/>
      <c r="S32" s="7"/>
      <c r="T32" s="7"/>
      <c r="U32" s="7"/>
      <c r="V32" s="7"/>
      <c r="W32" s="38" t="s">
        <v>97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12.75">
      <c r="A33" s="49">
        <f t="shared" si="4"/>
        <v>4.400000000000006</v>
      </c>
      <c r="B33" s="51">
        <f t="shared" si="0"/>
        <v>0.5434645405183315</v>
      </c>
      <c r="C33" s="51">
        <f t="shared" si="1"/>
        <v>-84.84455238285278</v>
      </c>
      <c r="D33" s="51">
        <f t="shared" si="2"/>
        <v>5.818858475063172</v>
      </c>
      <c r="E33" s="62">
        <v>0</v>
      </c>
      <c r="F33" s="7"/>
      <c r="G33" s="7"/>
      <c r="H33" s="51">
        <f t="shared" si="3"/>
        <v>0.04891180864664983</v>
      </c>
      <c r="I33" s="7"/>
      <c r="J33" s="7"/>
      <c r="K33" s="7"/>
      <c r="L33" s="54">
        <f>((1000*O33)/(A5*C5))*P33</f>
        <v>0.8036984772372582</v>
      </c>
      <c r="M33" s="13">
        <f>MAX(D17:D137)</f>
        <v>245.88232275258719</v>
      </c>
      <c r="N33" s="55">
        <f>MIN(D17:D137)</f>
        <v>-262.54150256417097</v>
      </c>
      <c r="O33" s="13">
        <f>MAX(M33,ABS(N33))</f>
        <v>262.54150256417097</v>
      </c>
      <c r="P33" s="13">
        <f>A5*0.5*B5*0.5*B5/2</f>
        <v>21437500</v>
      </c>
      <c r="Q33" s="7"/>
      <c r="R33" s="7"/>
      <c r="S33" s="7"/>
      <c r="T33" s="7"/>
      <c r="U33" s="7"/>
      <c r="V33" s="7"/>
      <c r="W33" s="39" t="s">
        <v>70</v>
      </c>
      <c r="X33" s="24">
        <f>R6</f>
        <v>0.565634</v>
      </c>
      <c r="Y33" s="24">
        <f>S6</f>
        <v>0.565634</v>
      </c>
      <c r="Z33" s="24">
        <f>T6</f>
        <v>0.565634</v>
      </c>
      <c r="AA33" s="24">
        <f>U6</f>
        <v>-0.565634</v>
      </c>
      <c r="AB33" s="35" t="s">
        <v>64</v>
      </c>
      <c r="AC33" s="17" t="s">
        <v>27</v>
      </c>
      <c r="AD33" s="35" t="s">
        <v>63</v>
      </c>
      <c r="AE33" s="25">
        <f>$B$11*1000/($E$5*0.000001)</f>
        <v>0.0009284009242644821</v>
      </c>
      <c r="AF33" s="40"/>
      <c r="AG33" s="44">
        <f>INDEX(MINVERSE(X33:AA36),1,1)</f>
        <v>0.0006701492727914994</v>
      </c>
      <c r="AH33" s="44">
        <f>INDEX(MINVERSE(X33:AA36),1,2)</f>
        <v>-1.160038731105609</v>
      </c>
      <c r="AI33" s="44">
        <f>INDEX(MINVERSE(X33:AA36),1,3)</f>
        <v>0.0002868349518502885</v>
      </c>
      <c r="AJ33" s="44">
        <f>INDEX(MINVERSE(X33:AA36),1,4)</f>
        <v>-0.02096697708099128</v>
      </c>
      <c r="AK33" s="37"/>
      <c r="AL33" s="45">
        <f>INDEX((MMULT(AG33:AJ36,AE33:AE36)),1,1)</f>
        <v>1.7833748023952182E-07</v>
      </c>
    </row>
    <row r="34" spans="1:38" ht="12.75">
      <c r="A34" s="49">
        <f t="shared" si="4"/>
        <v>4.300000000000006</v>
      </c>
      <c r="B34" s="51">
        <f t="shared" si="0"/>
        <v>0.49835244388896843</v>
      </c>
      <c r="C34" s="51">
        <f t="shared" si="1"/>
        <v>-84.13001902834063</v>
      </c>
      <c r="D34" s="51">
        <f t="shared" si="2"/>
        <v>8.377074689213543</v>
      </c>
      <c r="E34" s="62">
        <v>0</v>
      </c>
      <c r="F34" s="7"/>
      <c r="G34" s="7"/>
      <c r="H34" s="51">
        <f t="shared" si="3"/>
        <v>0.044851719950007155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59"/>
      <c r="V34" s="7"/>
      <c r="W34" s="39" t="s">
        <v>74</v>
      </c>
      <c r="X34" s="24">
        <f>R5</f>
        <v>-0.861721</v>
      </c>
      <c r="Y34" s="24">
        <f>S5</f>
        <v>0</v>
      </c>
      <c r="Z34" s="24">
        <f>T5</f>
        <v>0.861721</v>
      </c>
      <c r="AA34" s="24">
        <f>U5</f>
        <v>0</v>
      </c>
      <c r="AB34" s="35" t="s">
        <v>64</v>
      </c>
      <c r="AC34" s="17" t="s">
        <v>28</v>
      </c>
      <c r="AD34" s="35" t="s">
        <v>63</v>
      </c>
      <c r="AE34" s="25">
        <v>0</v>
      </c>
      <c r="AF34" s="40"/>
      <c r="AG34" s="44">
        <f>INDEX(MINVERSE(X33:AA36),2,1)</f>
        <v>1.7665723327131964</v>
      </c>
      <c r="AH34" s="44">
        <f>INDEX(MINVERSE(X33:AA36),2,2)</f>
        <v>1.1591589604227925</v>
      </c>
      <c r="AI34" s="44">
        <f>INDEX(MINVERSE(X33:AA36),2,3)</f>
        <v>0.02377606505331284</v>
      </c>
      <c r="AJ34" s="44">
        <f>INDEX(MINVERSE(X33:AA36),2,4)</f>
        <v>0.04216503402276934</v>
      </c>
      <c r="AK34" s="37"/>
      <c r="AL34" s="45">
        <f>INDEX((MMULT(AG33:AJ36,AE33:AE36)),2,1)</f>
        <v>0.0016032978518528804</v>
      </c>
    </row>
    <row r="35" spans="1:38" ht="12.75">
      <c r="A35" s="49">
        <f t="shared" si="4"/>
        <v>4.200000000000006</v>
      </c>
      <c r="B35" s="51">
        <f t="shared" si="0"/>
        <v>0.45819836234322575</v>
      </c>
      <c r="C35" s="51">
        <f t="shared" si="1"/>
        <v>-83.18704093232522</v>
      </c>
      <c r="D35" s="51">
        <f t="shared" si="2"/>
        <v>10.398165607804414</v>
      </c>
      <c r="E35" s="62">
        <v>0</v>
      </c>
      <c r="F35" s="7"/>
      <c r="G35" s="7"/>
      <c r="H35" s="51">
        <f t="shared" si="3"/>
        <v>0.041237852610890316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9" t="s">
        <v>98</v>
      </c>
      <c r="X35" s="24">
        <f>R13</f>
        <v>-0.015581</v>
      </c>
      <c r="Y35" s="24">
        <f>S13</f>
        <v>0.000177764</v>
      </c>
      <c r="Z35" s="24">
        <f>T13</f>
        <v>0.468496</v>
      </c>
      <c r="AA35" s="24">
        <f>U13</f>
        <v>41.0627</v>
      </c>
      <c r="AB35" s="35" t="s">
        <v>64</v>
      </c>
      <c r="AC35" s="17" t="s">
        <v>29</v>
      </c>
      <c r="AD35" s="35" t="s">
        <v>63</v>
      </c>
      <c r="AE35" s="25">
        <f>-$C$11*1000/($E$5*2*0.000001)</f>
        <v>-0.0015473348737741368</v>
      </c>
      <c r="AF35" s="40"/>
      <c r="AG35" s="44">
        <f>INDEX(MINVERSE(X33:AA36),3,1)</f>
        <v>0.0006701492727914994</v>
      </c>
      <c r="AH35" s="44">
        <f>INDEX(MINVERSE(X33:AA36),3,2)</f>
        <v>0.000429680363996599</v>
      </c>
      <c r="AI35" s="44">
        <f>INDEX(MINVERSE(X33:AA36),3,3)</f>
        <v>0.0002868349518502885</v>
      </c>
      <c r="AJ35" s="44">
        <f>INDEX(MINVERSE(X33:AA36),3,4)</f>
        <v>-0.02096697708099128</v>
      </c>
      <c r="AK35" s="37"/>
      <c r="AL35" s="45">
        <f>INDEX((MMULT(AG33:AJ36,AE33:AE36)),3,1)</f>
        <v>1.7833748023952182E-07</v>
      </c>
    </row>
    <row r="36" spans="1:38" ht="12.75">
      <c r="A36" s="49">
        <f t="shared" si="4"/>
        <v>4.100000000000007</v>
      </c>
      <c r="B36" s="51">
        <f t="shared" si="0"/>
        <v>0.42294695954768263</v>
      </c>
      <c r="C36" s="51">
        <f t="shared" si="1"/>
        <v>-82.06621806352736</v>
      </c>
      <c r="D36" s="51">
        <f t="shared" si="2"/>
        <v>11.944266136848443</v>
      </c>
      <c r="E36" s="62">
        <v>0</v>
      </c>
      <c r="F36" s="7"/>
      <c r="G36" s="7"/>
      <c r="H36" s="51">
        <f t="shared" si="3"/>
        <v>0.03806522635929144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9" t="s">
        <v>99</v>
      </c>
      <c r="X36" s="24">
        <f>R11</f>
        <v>0.000206298</v>
      </c>
      <c r="Y36" s="24">
        <f>S11</f>
        <v>0.0180813</v>
      </c>
      <c r="Z36" s="24">
        <f>T11</f>
        <v>-47.6519</v>
      </c>
      <c r="AA36" s="24">
        <f>U11</f>
        <v>0.543672</v>
      </c>
      <c r="AB36" s="35" t="s">
        <v>64</v>
      </c>
      <c r="AC36" s="17" t="s">
        <v>30</v>
      </c>
      <c r="AD36" s="35" t="s">
        <v>63</v>
      </c>
      <c r="AE36" s="25">
        <v>0</v>
      </c>
      <c r="AF36" s="40"/>
      <c r="AG36" s="44">
        <f>INDEX(MINVERSE(X33:AA36),4,1)</f>
        <v>-1.503928436363879E-05</v>
      </c>
      <c r="AH36" s="44">
        <f>INDEX(MINVERSE(X33:AA36),4,2)</f>
        <v>-0.00045009031881995193</v>
      </c>
      <c r="AI36" s="44">
        <f>INDEX(MINVERSE(X33:AA36),4,3)</f>
        <v>0.024349734957013414</v>
      </c>
      <c r="AJ36" s="44">
        <f>INDEX(MINVERSE(X33:AA36),4,4)</f>
        <v>0.0002310798607867759</v>
      </c>
      <c r="AK36" s="37"/>
      <c r="AL36" s="45">
        <f>INDEX((MMULT(AG33:AJ36,AE33:AE36)),4,1)</f>
        <v>-3.7691156551647516E-05</v>
      </c>
    </row>
    <row r="37" spans="1:38" ht="12.75">
      <c r="A37" s="49">
        <f t="shared" si="4"/>
        <v>4.000000000000007</v>
      </c>
      <c r="B37" s="51">
        <f t="shared" si="0"/>
        <v>0.39253238557267994</v>
      </c>
      <c r="C37" s="51">
        <f t="shared" si="1"/>
        <v>-80.8119741174587</v>
      </c>
      <c r="D37" s="51">
        <f t="shared" si="2"/>
        <v>13.076744768707096</v>
      </c>
      <c r="E37" s="62">
        <v>0</v>
      </c>
      <c r="F37" s="7"/>
      <c r="G37" s="7"/>
      <c r="H37" s="51">
        <f t="shared" si="3"/>
        <v>0.035327914701541195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34"/>
      <c r="AD37" s="7"/>
      <c r="AE37" s="26"/>
      <c r="AF37" s="26"/>
      <c r="AG37" s="37"/>
      <c r="AH37" s="37"/>
      <c r="AI37" s="37"/>
      <c r="AJ37" s="37"/>
      <c r="AK37" s="37"/>
      <c r="AL37" s="37"/>
    </row>
    <row r="38" spans="1:38" ht="12.75">
      <c r="A38" s="49">
        <f t="shared" si="4"/>
        <v>3.900000000000007</v>
      </c>
      <c r="B38" s="51">
        <f t="shared" si="0"/>
        <v>0.3668808959025205</v>
      </c>
      <c r="C38" s="51">
        <f t="shared" si="1"/>
        <v>-79.46263921236265</v>
      </c>
      <c r="D38" s="51">
        <f t="shared" si="2"/>
        <v>13.85608799032506</v>
      </c>
      <c r="E38" s="62">
        <v>0</v>
      </c>
      <c r="F38" s="7"/>
      <c r="G38" s="7"/>
      <c r="H38" s="51">
        <f t="shared" si="3"/>
        <v>0.03301928063122684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40"/>
      <c r="AF38" s="7"/>
      <c r="AG38" s="7"/>
      <c r="AH38" s="7"/>
      <c r="AI38" s="7"/>
      <c r="AJ38" s="7"/>
      <c r="AK38" s="7"/>
      <c r="AL38" s="7"/>
    </row>
    <row r="39" spans="1:38" ht="12.75">
      <c r="A39" s="49">
        <f t="shared" si="4"/>
        <v>3.800000000000007</v>
      </c>
      <c r="B39" s="51">
        <f t="shared" si="0"/>
        <v>0.34591311130204994</v>
      </c>
      <c r="C39" s="51">
        <f t="shared" si="1"/>
        <v>-78.05054257004686</v>
      </c>
      <c r="D39" s="51">
        <f t="shared" si="2"/>
        <v>14.341815422942176</v>
      </c>
      <c r="E39" s="62">
        <v>0</v>
      </c>
      <c r="F39" s="7"/>
      <c r="G39" s="7"/>
      <c r="H39" s="51">
        <f t="shared" si="3"/>
        <v>0.031132180017184492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9"/>
      <c r="AF39" s="7"/>
      <c r="AG39" s="7"/>
      <c r="AH39" s="7"/>
      <c r="AI39" s="7"/>
      <c r="AJ39" s="7"/>
      <c r="AK39" s="7"/>
      <c r="AL39" s="7"/>
    </row>
    <row r="40" spans="1:38" ht="12.75">
      <c r="A40" s="49">
        <f t="shared" si="4"/>
        <v>3.700000000000007</v>
      </c>
      <c r="B40" s="51">
        <f t="shared" si="0"/>
        <v>0.32954592398879945</v>
      </c>
      <c r="C40" s="51">
        <f t="shared" si="1"/>
        <v>-76.60211233360248</v>
      </c>
      <c r="D40" s="51">
        <f t="shared" si="2"/>
        <v>14.59242120187581</v>
      </c>
      <c r="E40" s="62">
        <v>0</v>
      </c>
      <c r="F40" s="7"/>
      <c r="G40" s="7"/>
      <c r="H40" s="51">
        <f t="shared" si="3"/>
        <v>0.02965913315899195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 t="s">
        <v>50</v>
      </c>
      <c r="Y40" s="7"/>
      <c r="Z40" s="7"/>
      <c r="AA40" s="7"/>
      <c r="AB40" s="7"/>
      <c r="AC40" s="7"/>
      <c r="AD40" s="7"/>
      <c r="AE40" s="7"/>
      <c r="AF40" s="7"/>
      <c r="AG40" s="27" t="s">
        <v>55</v>
      </c>
      <c r="AH40" s="7"/>
      <c r="AI40" s="7"/>
      <c r="AJ40" s="7"/>
      <c r="AK40" s="7"/>
      <c r="AL40" s="7" t="s">
        <v>79</v>
      </c>
    </row>
    <row r="41" spans="1:38" ht="12.75">
      <c r="A41" s="49">
        <f t="shared" si="4"/>
        <v>3.6000000000000068</v>
      </c>
      <c r="B41" s="51">
        <f t="shared" si="0"/>
        <v>0.31769405598276007</v>
      </c>
      <c r="C41" s="51">
        <f t="shared" si="1"/>
        <v>-75.13798011961558</v>
      </c>
      <c r="D41" s="51">
        <f t="shared" si="2"/>
        <v>14.66533717645322</v>
      </c>
      <c r="E41" s="62">
        <v>0</v>
      </c>
      <c r="F41" s="7"/>
      <c r="G41" s="7"/>
      <c r="H41" s="51">
        <f t="shared" si="3"/>
        <v>0.028592465038448405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27"/>
      <c r="AH41" s="7"/>
      <c r="AI41" s="7"/>
      <c r="AJ41" s="7"/>
      <c r="AK41" s="7"/>
      <c r="AL41" s="7"/>
    </row>
    <row r="42" spans="1:38" ht="12.75">
      <c r="A42" s="49">
        <f t="shared" si="4"/>
        <v>3.5000000000000067</v>
      </c>
      <c r="B42" s="51">
        <f t="shared" si="0"/>
        <v>0.31027127578708236</v>
      </c>
      <c r="C42" s="51">
        <f t="shared" si="1"/>
        <v>-73.67308834070379</v>
      </c>
      <c r="D42" s="51">
        <f t="shared" si="2"/>
        <v>14.616913586068359</v>
      </c>
      <c r="E42" s="62">
        <v>0</v>
      </c>
      <c r="F42" s="7"/>
      <c r="G42" s="7"/>
      <c r="H42" s="51">
        <f t="shared" si="3"/>
        <v>0.02792441482083741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38" t="s">
        <v>103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2.75">
      <c r="A43" s="49">
        <f t="shared" si="4"/>
        <v>3.4000000000000066</v>
      </c>
      <c r="B43" s="51">
        <f t="shared" si="0"/>
        <v>0.3071912797184167</v>
      </c>
      <c r="C43" s="51">
        <f t="shared" si="1"/>
        <v>-72.21679876469625</v>
      </c>
      <c r="D43" s="51">
        <f t="shared" si="2"/>
        <v>14.502412947019138</v>
      </c>
      <c r="E43" s="62">
        <v>0</v>
      </c>
      <c r="F43" s="7"/>
      <c r="G43" s="7"/>
      <c r="H43" s="51">
        <f t="shared" si="3"/>
        <v>0.027647215174657503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39" t="s">
        <v>72</v>
      </c>
      <c r="X43" s="24">
        <f>R6</f>
        <v>0.565634</v>
      </c>
      <c r="Y43" s="24">
        <f>S6</f>
        <v>0.565634</v>
      </c>
      <c r="Z43" s="24">
        <f>T6</f>
        <v>0.565634</v>
      </c>
      <c r="AA43" s="24">
        <f>U6</f>
        <v>-0.565634</v>
      </c>
      <c r="AB43" s="35" t="s">
        <v>64</v>
      </c>
      <c r="AC43" s="17" t="s">
        <v>27</v>
      </c>
      <c r="AD43" s="35" t="s">
        <v>63</v>
      </c>
      <c r="AE43" s="25">
        <f>$C$11*1000/(2*$E$5*0.000001)</f>
        <v>0.0015473348737741368</v>
      </c>
      <c r="AF43" s="40"/>
      <c r="AG43" s="44">
        <f>INDEX(MINVERSE(X43:AA46),1,1)</f>
        <v>0.883636534533887</v>
      </c>
      <c r="AH43" s="44">
        <f>INDEX(MINVERSE(X43:AA46),1,2)</f>
        <v>0.7608578017053994</v>
      </c>
      <c r="AI43" s="44">
        <f>INDEX(MINVERSE(X43:AA46),1,3)</f>
        <v>-0.024599691766396765</v>
      </c>
      <c r="AJ43" s="44">
        <f>INDEX(MINVERSE(X43:AA46),1,4)</f>
        <v>0.0319424183398177</v>
      </c>
      <c r="AK43" s="37"/>
      <c r="AL43" s="45">
        <f>INDEX((MMULT(AG43:AJ46,AE43:AE46)),1,1)</f>
        <v>0.0013901200021977519</v>
      </c>
    </row>
    <row r="44" spans="1:38" ht="12.75">
      <c r="A44" s="49">
        <f t="shared" si="4"/>
        <v>3.3000000000000065</v>
      </c>
      <c r="B44" s="51">
        <f t="shared" si="0"/>
        <v>0.3083682442805751</v>
      </c>
      <c r="C44" s="51">
        <f t="shared" si="1"/>
        <v>-70.77300119930898</v>
      </c>
      <c r="D44" s="51">
        <f t="shared" si="2"/>
        <v>14.376012964951336</v>
      </c>
      <c r="E44" s="62">
        <v>0</v>
      </c>
      <c r="F44" s="7"/>
      <c r="G44" s="7"/>
      <c r="H44" s="51">
        <f t="shared" si="3"/>
        <v>0.027753141985251757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39" t="s">
        <v>104</v>
      </c>
      <c r="X44" s="24">
        <f>R4</f>
        <v>0.6564</v>
      </c>
      <c r="Y44" s="24">
        <f>S4</f>
        <v>-0.6564</v>
      </c>
      <c r="Z44" s="24">
        <f>T4</f>
        <v>0.6564</v>
      </c>
      <c r="AA44" s="24">
        <f>U4</f>
        <v>0.6564</v>
      </c>
      <c r="AB44" s="35" t="s">
        <v>64</v>
      </c>
      <c r="AC44" s="17" t="s">
        <v>28</v>
      </c>
      <c r="AD44" s="35" t="s">
        <v>63</v>
      </c>
      <c r="AE44" s="25">
        <v>0</v>
      </c>
      <c r="AF44" s="40"/>
      <c r="AG44" s="44">
        <f>INDEX(MINVERSE(X43:AA46),2,1)</f>
        <v>0.8842915635152737</v>
      </c>
      <c r="AH44" s="44">
        <f>INDEX(MINVERSE(X43:AA46),2,2)</f>
        <v>-0.7614486112436273</v>
      </c>
      <c r="AI44" s="44">
        <f>INDEX(MINVERSE(X43:AA46),2,3)</f>
        <v>0.024062898384463995</v>
      </c>
      <c r="AJ44" s="44">
        <f>INDEX(MINVERSE(X43:AA46),2,4)</f>
        <v>0.0003765588503453612</v>
      </c>
      <c r="AK44" s="37"/>
      <c r="AL44" s="45">
        <f>INDEX((MMULT(AG43:AJ46,AE43:AE46)),2,1)</f>
        <v>0.0013459551577108214</v>
      </c>
    </row>
    <row r="45" spans="1:38" ht="12.75">
      <c r="A45" s="49">
        <f t="shared" si="4"/>
        <v>3.2000000000000064</v>
      </c>
      <c r="B45" s="51">
        <f t="shared" si="0"/>
        <v>0.3137170559846317</v>
      </c>
      <c r="C45" s="51">
        <f t="shared" si="1"/>
        <v>-69.34022160565254</v>
      </c>
      <c r="D45" s="51">
        <f t="shared" si="2"/>
        <v>14.290814368411064</v>
      </c>
      <c r="E45" s="62">
        <v>0</v>
      </c>
      <c r="F45" s="7"/>
      <c r="G45" s="7"/>
      <c r="H45" s="51">
        <f t="shared" si="3"/>
        <v>0.02823453503861685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9" t="s">
        <v>105</v>
      </c>
      <c r="X45" s="24">
        <f>R13</f>
        <v>-0.015581</v>
      </c>
      <c r="Y45" s="24">
        <f>S13</f>
        <v>0.000177764</v>
      </c>
      <c r="Z45" s="24">
        <f>T13</f>
        <v>0.468496</v>
      </c>
      <c r="AA45" s="24">
        <f>U13</f>
        <v>41.0627</v>
      </c>
      <c r="AB45" s="35" t="s">
        <v>64</v>
      </c>
      <c r="AC45" s="17" t="s">
        <v>29</v>
      </c>
      <c r="AD45" s="35" t="s">
        <v>63</v>
      </c>
      <c r="AE45" s="25">
        <f>-$D$11*1000/($E$5*0.000001)</f>
        <v>-0.0009284009242644821</v>
      </c>
      <c r="AF45" s="40"/>
      <c r="AG45" s="44">
        <f>INDEX(MINVERSE(X43:AA46),3,1)</f>
        <v>0.00032730073768430084</v>
      </c>
      <c r="AH45" s="44">
        <f>INDEX(MINVERSE(X43:AA46),3,2)</f>
        <v>0.0008728503360387283</v>
      </c>
      <c r="AI45" s="44">
        <f>INDEX(MINVERSE(X43:AA46),3,3)</f>
        <v>0.024599691766396765</v>
      </c>
      <c r="AJ45" s="44">
        <f>INDEX(MINVERSE(X43:AA46),3,4)</f>
        <v>-0.0319424183398177</v>
      </c>
      <c r="AK45" s="37"/>
      <c r="AL45" s="45">
        <f>INDEX((MMULT(AG43:AJ46,AE43:AE46)),3,1)</f>
        <v>-2.233193272691321E-05</v>
      </c>
    </row>
    <row r="46" spans="1:38" ht="12.75">
      <c r="A46" s="49">
        <f t="shared" si="4"/>
        <v>3.1000000000000063</v>
      </c>
      <c r="B46" s="51">
        <f t="shared" si="0"/>
        <v>0.32315322498690774</v>
      </c>
      <c r="C46" s="51">
        <f t="shared" si="1"/>
        <v>-67.9117293503292</v>
      </c>
      <c r="D46" s="51">
        <f t="shared" si="2"/>
        <v>14.298849639517648</v>
      </c>
      <c r="E46" s="62">
        <v>0</v>
      </c>
      <c r="F46" s="7"/>
      <c r="G46" s="7"/>
      <c r="H46" s="51">
        <f t="shared" si="3"/>
        <v>0.029083790248821694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9" t="s">
        <v>78</v>
      </c>
      <c r="X46" s="24">
        <f>R12</f>
        <v>0.0117331</v>
      </c>
      <c r="Y46" s="24">
        <f>S12</f>
        <v>-0.0120039</v>
      </c>
      <c r="Z46" s="24">
        <f>T12</f>
        <v>-30.9218</v>
      </c>
      <c r="AA46" s="24">
        <f>U12</f>
        <v>31.6356</v>
      </c>
      <c r="AB46" s="35" t="s">
        <v>64</v>
      </c>
      <c r="AC46" s="17" t="s">
        <v>30</v>
      </c>
      <c r="AD46" s="35" t="s">
        <v>63</v>
      </c>
      <c r="AE46" s="25">
        <v>0</v>
      </c>
      <c r="AF46" s="40"/>
      <c r="AG46" s="44">
        <f>INDEX(MINVERSE(X43:AA46),4,1)</f>
        <v>0.00032772824370228026</v>
      </c>
      <c r="AH46" s="44">
        <f>INDEX(MINVERSE(X43:AA46),4,2)</f>
        <v>0.00028204079781086344</v>
      </c>
      <c r="AI46" s="44">
        <f>INDEX(MINVERSE(X43:AA46),4,3)</f>
        <v>0.024062898384463995</v>
      </c>
      <c r="AJ46" s="44">
        <f>INDEX(MINVERSE(X43:AA46),4,4)</f>
        <v>0.0003765588503453612</v>
      </c>
      <c r="AK46" s="37"/>
      <c r="AL46" s="45">
        <f>INDEX((MMULT(AG43:AJ46,AE43:AE46)),4,1)</f>
        <v>-2.18329117600174E-05</v>
      </c>
    </row>
    <row r="47" spans="1:38" ht="12.75">
      <c r="A47" s="49">
        <f t="shared" si="4"/>
        <v>3.000000000000006</v>
      </c>
      <c r="B47" s="51">
        <f t="shared" si="0"/>
        <v>0.33659248886746423</v>
      </c>
      <c r="C47" s="51">
        <f t="shared" si="1"/>
        <v>-66.47564370427217</v>
      </c>
      <c r="D47" s="51">
        <f t="shared" si="2"/>
        <v>14.451088697747418</v>
      </c>
      <c r="E47" s="62">
        <v>0</v>
      </c>
      <c r="F47" s="7"/>
      <c r="G47" s="7"/>
      <c r="H47" s="51">
        <f t="shared" si="3"/>
        <v>0.03029332399807178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2.75">
      <c r="A48" s="49">
        <f t="shared" si="4"/>
        <v>2.900000000000006</v>
      </c>
      <c r="B48" s="51">
        <f t="shared" si="0"/>
        <v>0.35395011282924604</v>
      </c>
      <c r="C48" s="51">
        <f t="shared" si="1"/>
        <v>-65.01504008690674</v>
      </c>
      <c r="D48" s="51">
        <f t="shared" si="2"/>
        <v>14.79743767219715</v>
      </c>
      <c r="E48" s="62">
        <v>0</v>
      </c>
      <c r="F48" s="7"/>
      <c r="G48" s="7"/>
      <c r="H48" s="51">
        <f t="shared" si="3"/>
        <v>0.031855510154632144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2.75">
      <c r="A49" s="49">
        <f t="shared" si="4"/>
        <v>2.800000000000006</v>
      </c>
      <c r="B49" s="51">
        <f t="shared" si="0"/>
        <v>0.37513989258488206</v>
      </c>
      <c r="C49" s="51">
        <f t="shared" si="1"/>
        <v>-63.508056936724465</v>
      </c>
      <c r="D49" s="51">
        <f t="shared" si="2"/>
        <v>15.386726976700364</v>
      </c>
      <c r="E49" s="62">
        <v>0</v>
      </c>
      <c r="F49" s="7"/>
      <c r="G49" s="7"/>
      <c r="H49" s="51">
        <f t="shared" si="3"/>
        <v>0.03376259033263938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2.75">
      <c r="A50" s="49">
        <f t="shared" si="4"/>
        <v>2.700000000000006</v>
      </c>
      <c r="B50" s="51">
        <f t="shared" si="0"/>
        <v>0.40007286623691785</v>
      </c>
      <c r="C50" s="51">
        <f t="shared" si="1"/>
        <v>-61.92800446397149</v>
      </c>
      <c r="D50" s="51">
        <f t="shared" si="2"/>
        <v>16.266684981312054</v>
      </c>
      <c r="E50" s="62">
        <v>0</v>
      </c>
      <c r="F50" s="7"/>
      <c r="G50" s="7"/>
      <c r="H50" s="51">
        <f t="shared" si="3"/>
        <v>0.036006557961322606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2.75">
      <c r="A51" s="49">
        <f t="shared" si="4"/>
        <v>2.600000000000006</v>
      </c>
      <c r="B51" s="51">
        <f t="shared" si="0"/>
        <v>0.42865574156999486</v>
      </c>
      <c r="C51" s="51">
        <f t="shared" si="1"/>
        <v>-60.24347690780837</v>
      </c>
      <c r="D51" s="51">
        <f t="shared" si="2"/>
        <v>17.48389365375124</v>
      </c>
      <c r="E51" s="62">
        <v>0</v>
      </c>
      <c r="F51" s="7"/>
      <c r="G51" s="7"/>
      <c r="H51" s="51">
        <f t="shared" si="3"/>
        <v>0.038579016741299536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12.75">
      <c r="A52" s="49">
        <f t="shared" si="4"/>
        <v>2.5000000000000058</v>
      </c>
      <c r="B52" s="51">
        <f t="shared" si="0"/>
        <v>0.4607890453818311</v>
      </c>
      <c r="C52" s="51">
        <f t="shared" si="1"/>
        <v>-58.41847027885811</v>
      </c>
      <c r="D52" s="51">
        <f t="shared" si="2"/>
        <v>19.083722626465025</v>
      </c>
      <c r="E52" s="62">
        <v>0</v>
      </c>
      <c r="F52" s="7"/>
      <c r="G52" s="7"/>
      <c r="H52" s="51">
        <f t="shared" si="3"/>
        <v>0.04147101408436479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2.75">
      <c r="A53" s="49">
        <f t="shared" si="4"/>
        <v>2.4000000000000057</v>
      </c>
      <c r="B53" s="51">
        <f t="shared" si="0"/>
        <v>0.49636500180491877</v>
      </c>
      <c r="C53" s="51">
        <f t="shared" si="1"/>
        <v>-56.412507918256004</v>
      </c>
      <c r="D53" s="51">
        <f t="shared" si="2"/>
        <v>21.110238230390653</v>
      </c>
      <c r="E53" s="62">
        <v>0</v>
      </c>
      <c r="F53" s="7"/>
      <c r="G53" s="7"/>
      <c r="H53" s="51">
        <f t="shared" si="3"/>
        <v>0.044672850162442684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2.75">
      <c r="A54" s="49">
        <f t="shared" si="4"/>
        <v>2.3000000000000056</v>
      </c>
      <c r="B54" s="51">
        <f t="shared" si="0"/>
        <v>0.5352651470332842</v>
      </c>
      <c r="C54" s="51">
        <f t="shared" si="1"/>
        <v>-54.18077654573855</v>
      </c>
      <c r="D54" s="51">
        <f t="shared" si="2"/>
        <v>23.606084126844596</v>
      </c>
      <c r="E54" s="62">
        <v>0</v>
      </c>
      <c r="F54" s="7"/>
      <c r="G54" s="7"/>
      <c r="H54" s="51">
        <f t="shared" si="3"/>
        <v>0.04817386323299558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2.75">
      <c r="A55" s="49">
        <f t="shared" si="4"/>
        <v>2.2000000000000055</v>
      </c>
      <c r="B55" s="51">
        <f t="shared" si="0"/>
        <v>0.5773576884885747</v>
      </c>
      <c r="C55" s="51">
        <f t="shared" si="1"/>
        <v>-51.674275801372694</v>
      </c>
      <c r="D55" s="51">
        <f t="shared" si="2"/>
        <v>26.61233026611801</v>
      </c>
      <c r="E55" s="62">
        <v>0</v>
      </c>
      <c r="F55" s="7"/>
      <c r="G55" s="7"/>
      <c r="H55" s="51">
        <f t="shared" si="3"/>
        <v>0.05196219196397172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2.75">
      <c r="A56" s="49">
        <f t="shared" si="4"/>
        <v>2.1000000000000054</v>
      </c>
      <c r="B56" s="51">
        <f t="shared" si="0"/>
        <v>0.6224946172567161</v>
      </c>
      <c r="C56" s="51">
        <f t="shared" si="1"/>
        <v>-48.839984607450155</v>
      </c>
      <c r="D56" s="51">
        <f t="shared" si="2"/>
        <v>30.168287007415014</v>
      </c>
      <c r="E56" s="62">
        <v>0</v>
      </c>
      <c r="F56" s="7"/>
      <c r="G56" s="7"/>
      <c r="H56" s="51">
        <f t="shared" si="3"/>
        <v>0.05602451555310444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2.75">
      <c r="A57" s="49">
        <f t="shared" si="4"/>
        <v>2.0000000000000053</v>
      </c>
      <c r="B57" s="51">
        <f t="shared" si="0"/>
        <v>0.6705085836193923</v>
      </c>
      <c r="C57" s="51">
        <f t="shared" si="1"/>
        <v>-45.621047987846225</v>
      </c>
      <c r="D57" s="51">
        <f t="shared" si="2"/>
        <v>34.31128135208378</v>
      </c>
      <c r="E57" s="62">
        <v>0</v>
      </c>
      <c r="F57" s="7"/>
      <c r="G57" s="7"/>
      <c r="H57" s="51">
        <f t="shared" si="3"/>
        <v>0.0603457725257453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2.75">
      <c r="A58" s="49">
        <f t="shared" si="4"/>
        <v>1.9000000000000052</v>
      </c>
      <c r="B58" s="51">
        <f t="shared" si="0"/>
        <v>0.7212095467119587</v>
      </c>
      <c r="C58" s="51">
        <f t="shared" si="1"/>
        <v>-41.95698828051591</v>
      </c>
      <c r="D58" s="51">
        <f t="shared" si="2"/>
        <v>39.0763923732483</v>
      </c>
      <c r="E58" s="62">
        <v>0</v>
      </c>
      <c r="F58" s="7"/>
      <c r="G58" s="7"/>
      <c r="H58" s="51">
        <f t="shared" si="3"/>
        <v>0.06490885920407628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2.75">
      <c r="A59" s="49">
        <f t="shared" si="4"/>
        <v>1.8000000000000052</v>
      </c>
      <c r="B59" s="51">
        <f t="shared" si="0"/>
        <v>0.7743812107786681</v>
      </c>
      <c r="C59" s="51">
        <f t="shared" si="1"/>
        <v>-37.78394496325087</v>
      </c>
      <c r="D59" s="51">
        <f t="shared" si="2"/>
        <v>44.49614307276181</v>
      </c>
      <c r="E59" s="62">
        <v>0</v>
      </c>
      <c r="F59" s="7"/>
      <c r="G59" s="7"/>
      <c r="H59" s="51">
        <f t="shared" si="3"/>
        <v>0.06969430897008012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2.75">
      <c r="A60" s="49">
        <f t="shared" si="4"/>
        <v>1.700000000000005</v>
      </c>
      <c r="B60" s="51">
        <f t="shared" si="0"/>
        <v>0.8297772621840582</v>
      </c>
      <c r="C60" s="51">
        <f t="shared" si="1"/>
        <v>-33.03494758152983</v>
      </c>
      <c r="D60" s="51">
        <f t="shared" si="2"/>
        <v>50.6001460639004</v>
      </c>
      <c r="E60" s="62">
        <v>0</v>
      </c>
      <c r="F60" s="7"/>
      <c r="G60" s="7"/>
      <c r="H60" s="51">
        <f t="shared" si="3"/>
        <v>0.07467995359656524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2.75">
      <c r="A61" s="49">
        <f t="shared" si="4"/>
        <v>1.600000000000005</v>
      </c>
      <c r="B61" s="51">
        <f t="shared" si="0"/>
        <v>0.8871174232918168</v>
      </c>
      <c r="C61" s="51">
        <f t="shared" si="1"/>
        <v>-27.64022651813805</v>
      </c>
      <c r="D61" s="51">
        <f t="shared" si="2"/>
        <v>57.41470066863172</v>
      </c>
      <c r="E61" s="62">
        <v>0</v>
      </c>
      <c r="F61" s="7"/>
      <c r="G61" s="7"/>
      <c r="H61" s="51">
        <f t="shared" si="3"/>
        <v>0.07984056809626351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2.75">
      <c r="A62" s="49">
        <f t="shared" si="4"/>
        <v>1.5000000000000049</v>
      </c>
      <c r="B62" s="51">
        <f t="shared" si="0"/>
        <v>0.9460833415541977</v>
      </c>
      <c r="C62" s="51">
        <f t="shared" si="1"/>
        <v>-21.52756657474416</v>
      </c>
      <c r="D62" s="51">
        <f t="shared" si="2"/>
        <v>64.96233923505596</v>
      </c>
      <c r="E62" s="62">
        <v>0</v>
      </c>
      <c r="F62" s="7"/>
      <c r="G62" s="7"/>
      <c r="H62" s="51">
        <f t="shared" si="3"/>
        <v>0.08514750073987779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2.75">
      <c r="A63" s="49">
        <f t="shared" si="4"/>
        <v>1.4000000000000048</v>
      </c>
      <c r="B63" s="51">
        <f t="shared" si="0"/>
        <v>1.0063143346796797</v>
      </c>
      <c r="C63" s="51">
        <f t="shared" si="1"/>
        <v>-14.622708542991832</v>
      </c>
      <c r="D63" s="51">
        <f t="shared" si="2"/>
        <v>73.26132072732939</v>
      </c>
      <c r="E63" s="62">
        <v>0</v>
      </c>
      <c r="F63" s="7"/>
      <c r="G63" s="7"/>
      <c r="H63" s="51">
        <f t="shared" si="3"/>
        <v>0.09056829012117117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2.75">
      <c r="A64" s="49">
        <f t="shared" si="4"/>
        <v>1.3000000000000047</v>
      </c>
      <c r="B64" s="51">
        <f t="shared" si="0"/>
        <v>1.067403015576244</v>
      </c>
      <c r="C64" s="51">
        <f t="shared" si="1"/>
        <v>-6.849804123708706</v>
      </c>
      <c r="D64" s="51">
        <f t="shared" si="2"/>
        <v>82.32506992081504</v>
      </c>
      <c r="E64" s="62">
        <v>0</v>
      </c>
      <c r="F64" s="7"/>
      <c r="G64" s="7"/>
      <c r="H64" s="51">
        <f t="shared" si="3"/>
        <v>0.09606627140186196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2.75">
      <c r="A65" s="49">
        <f t="shared" si="4"/>
        <v>1.2000000000000046</v>
      </c>
      <c r="B65" s="51">
        <f t="shared" si="0"/>
        <v>1.128890823913051</v>
      </c>
      <c r="C65" s="51">
        <f t="shared" si="1"/>
        <v>1.868070296012479</v>
      </c>
      <c r="D65" s="51">
        <f t="shared" si="2"/>
        <v>92.16156085327107</v>
      </c>
      <c r="E65" s="62">
        <v>0</v>
      </c>
      <c r="F65" s="7"/>
      <c r="G65" s="7"/>
      <c r="H65" s="51">
        <f t="shared" si="3"/>
        <v>0.1016001741521746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2.75">
      <c r="A66" s="49">
        <f t="shared" si="4"/>
        <v>1.1000000000000045</v>
      </c>
      <c r="B66" s="51">
        <f t="shared" si="0"/>
        <v>1.1902634946133201</v>
      </c>
      <c r="C66" s="51">
        <f t="shared" si="1"/>
        <v>11.60833538081018</v>
      </c>
      <c r="D66" s="51">
        <f t="shared" si="2"/>
        <v>102.77264354262304</v>
      </c>
      <c r="E66" s="62">
        <v>0</v>
      </c>
      <c r="F66" s="7"/>
      <c r="G66" s="7"/>
      <c r="H66" s="51">
        <f t="shared" si="3"/>
        <v>0.10712371451519881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2.75">
      <c r="A67" s="49">
        <f t="shared" si="4"/>
        <v>1.0000000000000044</v>
      </c>
      <c r="B67" s="51">
        <f t="shared" si="0"/>
        <v>1.2509464973927307</v>
      </c>
      <c r="C67" s="51">
        <f t="shared" si="1"/>
        <v>22.448260394008063</v>
      </c>
      <c r="D67" s="51">
        <f t="shared" si="2"/>
        <v>114.153313387406</v>
      </c>
      <c r="E67" s="62">
        <v>0</v>
      </c>
      <c r="F67" s="7"/>
      <c r="G67" s="7"/>
      <c r="H67" s="51">
        <f t="shared" si="3"/>
        <v>0.11258518476534575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2.75">
      <c r="A68" s="49">
        <f t="shared" si="4"/>
        <v>0.9000000000000045</v>
      </c>
      <c r="B68" s="51">
        <f t="shared" si="0"/>
        <v>1.3103004855953437</v>
      </c>
      <c r="C68" s="51">
        <f t="shared" si="1"/>
        <v>34.464238811360396</v>
      </c>
      <c r="D68" s="51">
        <f t="shared" si="2"/>
        <v>126.29092312151506</v>
      </c>
      <c r="E68" s="62">
        <v>0</v>
      </c>
      <c r="F68" s="7"/>
      <c r="G68" s="7"/>
      <c r="H68" s="51">
        <f t="shared" si="3"/>
        <v>0.11792704370358092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2.75">
      <c r="A69" s="49">
        <f t="shared" si="4"/>
        <v>0.8000000000000045</v>
      </c>
      <c r="B69" s="51">
        <f t="shared" si="0"/>
        <v>1.3676167970549338</v>
      </c>
      <c r="C69" s="51">
        <f t="shared" si="1"/>
        <v>47.730982271606834</v>
      </c>
      <c r="D69" s="51">
        <f t="shared" si="2"/>
        <v>139.16433770472307</v>
      </c>
      <c r="E69" s="62">
        <v>0</v>
      </c>
      <c r="F69" s="7"/>
      <c r="G69" s="7"/>
      <c r="H69" s="51">
        <f t="shared" si="3"/>
        <v>0.12308551173494403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12.75">
      <c r="A70" s="49">
        <f t="shared" si="4"/>
        <v>0.7000000000000045</v>
      </c>
      <c r="B70" s="51">
        <f t="shared" si="0"/>
        <v>1.4221130545230338</v>
      </c>
      <c r="C70" s="51">
        <f t="shared" si="1"/>
        <v>62.32062719991127</v>
      </c>
      <c r="D70" s="51">
        <f t="shared" si="2"/>
        <v>152.74303309876316</v>
      </c>
      <c r="E70" s="62">
        <v>0</v>
      </c>
      <c r="F70" s="7"/>
      <c r="G70" s="7"/>
      <c r="H70" s="51">
        <f t="shared" si="3"/>
        <v>0.12799017490707304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2.75">
      <c r="A71" s="49">
        <f t="shared" si="4"/>
        <v>0.6000000000000045</v>
      </c>
      <c r="B71" s="51">
        <f t="shared" si="0"/>
        <v>1.47292891835197</v>
      </c>
      <c r="C71" s="51">
        <f t="shared" si="1"/>
        <v>78.30174856625553</v>
      </c>
      <c r="D71" s="51">
        <f t="shared" si="2"/>
        <v>166.98614050987823</v>
      </c>
      <c r="E71" s="62">
        <v>0</v>
      </c>
      <c r="F71" s="7"/>
      <c r="G71" s="7"/>
      <c r="H71" s="51">
        <f t="shared" si="3"/>
        <v>0.1325636026516773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2.75">
      <c r="A72" s="49">
        <f t="shared" si="4"/>
        <v>0.5000000000000046</v>
      </c>
      <c r="B72" s="51">
        <f t="shared" si="0"/>
        <v>1.5191220495942486</v>
      </c>
      <c r="C72" s="51">
        <f t="shared" si="1"/>
        <v>95.73827543327312</v>
      </c>
      <c r="D72" s="51">
        <f t="shared" si="2"/>
        <v>181.8414383767495</v>
      </c>
      <c r="E72" s="62">
        <v>0</v>
      </c>
      <c r="F72" s="7"/>
      <c r="G72" s="7"/>
      <c r="H72" s="51">
        <f t="shared" si="3"/>
        <v>0.13672098446348235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2.75">
      <c r="A73" s="49">
        <f t="shared" si="4"/>
        <v>0.4000000000000046</v>
      </c>
      <c r="B73" s="51">
        <f t="shared" si="0"/>
        <v>1.5596643474674805</v>
      </c>
      <c r="C73" s="51">
        <f t="shared" si="1"/>
        <v>114.68830321374163</v>
      </c>
      <c r="D73" s="51">
        <f t="shared" si="2"/>
        <v>197.24429515169527</v>
      </c>
      <c r="E73" s="62">
        <v>0</v>
      </c>
      <c r="F73" s="7"/>
      <c r="G73" s="7"/>
      <c r="H73" s="51">
        <f t="shared" si="3"/>
        <v>0.14036979127207325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2.75">
      <c r="A74" s="49">
        <f t="shared" si="4"/>
        <v>0.3000000000000046</v>
      </c>
      <c r="B74" s="51">
        <f t="shared" si="0"/>
        <v>1.5934385312208994</v>
      </c>
      <c r="C74" s="51">
        <f t="shared" si="1"/>
        <v>135.2027979042921</v>
      </c>
      <c r="D74" s="51">
        <f t="shared" si="2"/>
        <v>213.11656676682813</v>
      </c>
      <c r="E74" s="62">
        <v>0</v>
      </c>
      <c r="F74" s="7"/>
      <c r="G74" s="7"/>
      <c r="H74" s="51">
        <f t="shared" si="3"/>
        <v>0.14340946780988095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12.75">
      <c r="A75" s="49">
        <f t="shared" si="4"/>
        <v>0.2000000000000046</v>
      </c>
      <c r="B75" s="51">
        <f t="shared" si="0"/>
        <v>1.6192351428049618</v>
      </c>
      <c r="C75" s="51">
        <f t="shared" si="1"/>
        <v>157.32418799650753</v>
      </c>
      <c r="D75" s="51">
        <f t="shared" si="2"/>
        <v>229.3654535991403</v>
      </c>
      <c r="E75" s="62">
        <v>0</v>
      </c>
      <c r="F75" s="7"/>
      <c r="G75" s="7"/>
      <c r="H75" s="51">
        <f t="shared" si="3"/>
        <v>0.14573116285244656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2.75">
      <c r="A76" s="49">
        <f t="shared" si="4"/>
        <v>0.10000000000000459</v>
      </c>
      <c r="B76" s="51">
        <f t="shared" si="0"/>
        <v>1.6357500533639098</v>
      </c>
      <c r="C76" s="51">
        <f t="shared" si="1"/>
        <v>181.08484029749073</v>
      </c>
      <c r="D76" s="51">
        <f t="shared" si="2"/>
        <v>245.88232275258719</v>
      </c>
      <c r="E76" s="62">
        <v>0</v>
      </c>
      <c r="F76" s="7"/>
      <c r="G76" s="7"/>
      <c r="H76" s="51">
        <f t="shared" si="3"/>
        <v>0.14721750480275186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2.75">
      <c r="A77" s="49">
        <f t="shared" si="4"/>
        <v>4.579669976578771E-15</v>
      </c>
      <c r="B77" s="51">
        <f t="shared" si="0"/>
        <v>1.6415825634111212</v>
      </c>
      <c r="C77" s="51">
        <f t="shared" si="1"/>
        <v>206.50541652751556</v>
      </c>
      <c r="D77" s="51">
        <f>-((0.001)*(0.000001)*$E$5)*(2*$M$4*EXP($H$5*A77)*(($M$19-$M$20)*COS($H$5*A77)-($M$19+$M$20)*SIN($H$5*A77))+2*$M$4*EXP(-$H$5*A77)*(($M$17+$M$18)*COS($H$5*A77)+($M$17-$M$18)*SIN($H$5*A77)))</f>
        <v>-262.54150256417097</v>
      </c>
      <c r="E77" s="62">
        <v>0</v>
      </c>
      <c r="F77" s="7"/>
      <c r="G77" s="7"/>
      <c r="H77" s="51">
        <f t="shared" si="3"/>
        <v>0.1477424307070009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2.75">
      <c r="A78" s="49">
        <f>A77+0.1</f>
        <v>0.10000000000000459</v>
      </c>
      <c r="B78" s="51">
        <f t="shared" si="0"/>
        <v>1.6357500533639098</v>
      </c>
      <c r="C78" s="51">
        <f t="shared" si="1"/>
        <v>181.08484029749073</v>
      </c>
      <c r="D78" s="51">
        <f>-((0.001)*(0.000001)*$E$5)*(2*$M$4*EXP($H$5*A78)*(($M$19-$M$20)*COS($H$5*A78)-($M$19+$M$20)*SIN($H$5*A78))+2*$M$4*EXP(-$H$5*A78)*(($M$17+$M$18)*COS($H$5*A78)+($M$17-$M$18)*SIN($H$5*A78)))</f>
        <v>-245.88232275258719</v>
      </c>
      <c r="E78" s="62">
        <v>0</v>
      </c>
      <c r="F78" s="7"/>
      <c r="G78" s="7"/>
      <c r="H78" s="51">
        <f t="shared" si="3"/>
        <v>0.14721750480275186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2.75">
      <c r="A79" s="49">
        <f aca="true" t="shared" si="5" ref="A79:A137">A78+0.1</f>
        <v>0.2000000000000046</v>
      </c>
      <c r="B79" s="51">
        <f t="shared" si="0"/>
        <v>1.6192351428049618</v>
      </c>
      <c r="C79" s="51">
        <f t="shared" si="1"/>
        <v>157.32418799650753</v>
      </c>
      <c r="D79" s="51">
        <f>-((0.001)*(0.000001)*$E$5)*(2*$M$4*EXP($H$5*A79)*(($M$19-$M$20)*COS($H$5*A79)-($M$19+$M$20)*SIN($H$5*A79))+2*$M$4*EXP(-$H$5*A79)*(($M$17+$M$18)*COS($H$5*A79)+($M$17-$M$18)*SIN($H$5*A79)))</f>
        <v>-229.3654535991403</v>
      </c>
      <c r="E79" s="62">
        <v>0</v>
      </c>
      <c r="F79" s="7"/>
      <c r="G79" s="7"/>
      <c r="H79" s="51">
        <f t="shared" si="3"/>
        <v>0.14573116285244656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2.75">
      <c r="A80" s="49">
        <f t="shared" si="5"/>
        <v>0.3000000000000046</v>
      </c>
      <c r="B80" s="51">
        <f t="shared" si="0"/>
        <v>1.5934385312208994</v>
      </c>
      <c r="C80" s="51">
        <f t="shared" si="1"/>
        <v>135.2027979042921</v>
      </c>
      <c r="D80" s="51">
        <f>-((0.001)*(0.000001)*$E$5)*(2*$M$4*EXP($H$5*A80)*(($M$19-$M$20)*COS($H$5*A80)-($M$19+$M$20)*SIN($H$5*A80))+2*$M$4*EXP(-$H$5*A80)*(($M$17+$M$18)*COS($H$5*A80)+($M$17-$M$18)*SIN($H$5*A80)))</f>
        <v>-213.11656676682813</v>
      </c>
      <c r="E80" s="62">
        <v>0</v>
      </c>
      <c r="F80" s="7"/>
      <c r="G80" s="7"/>
      <c r="H80" s="51">
        <f t="shared" si="3"/>
        <v>0.14340946780988095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2.75">
      <c r="A81" s="49">
        <f t="shared" si="5"/>
        <v>0.4000000000000046</v>
      </c>
      <c r="B81" s="51">
        <f t="shared" si="0"/>
        <v>1.5596643474674805</v>
      </c>
      <c r="C81" s="51">
        <f t="shared" si="1"/>
        <v>114.68830321374163</v>
      </c>
      <c r="D81" s="51">
        <f>-((0.001)*(0.000001)*$E$5)*(2*$M$4*EXP($H$5*A81)*(($M$19-$M$20)*COS($H$5*A81)-($M$19+$M$20)*SIN($H$5*A81))+2*$M$4*EXP(-$H$5*A81)*(($M$17+$M$18)*COS($H$5*A81)+($M$17-$M$18)*SIN($H$5*A81)))</f>
        <v>-197.24429515169527</v>
      </c>
      <c r="E81" s="62">
        <v>0</v>
      </c>
      <c r="F81" s="7"/>
      <c r="G81" s="7"/>
      <c r="H81" s="51">
        <f t="shared" si="3"/>
        <v>0.14036979127207325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2.75">
      <c r="A82" s="49">
        <f t="shared" si="5"/>
        <v>0.5000000000000046</v>
      </c>
      <c r="B82" s="51">
        <f aca="true" t="shared" si="6" ref="B82:B137">1000*((0.001*($A$11/$G$5))+EXP(-$H$5*A82)*($M$17*SIN($H$5*A82)+$M$18*COS($H$5*A82))+EXP($H$5*A82)*($M$19*SIN($H$5*A82)+$M$20*COS($H$5*A82)))</f>
        <v>1.5191220495942486</v>
      </c>
      <c r="C82" s="51">
        <f aca="true" t="shared" si="7" ref="C82:C137">-((0.001)*(0.000001)*$E$5)*(2*$M$3*(EXP($H$5*A82))*($M$19*COS($H$5*A82)-$M$20*SIN($H$5*A82))+2*$M$3*(EXP(-$H$5*A82))*($M$18*SIN($H$5*A82)-$M$17*COS($H$5*A82)))</f>
        <v>95.73827543327312</v>
      </c>
      <c r="D82" s="51">
        <f aca="true" t="shared" si="8" ref="D82:D137">-((0.001)*(0.000001)*$E$5)*(2*$M$4*EXP($H$5*A82)*(($M$19-$M$20)*COS($H$5*A82)-($M$19+$M$20)*SIN($H$5*A82))+2*$M$4*EXP(-$H$5*A82)*(($M$17+$M$18)*COS($H$5*A82)+($M$17-$M$18)*SIN($H$5*A82)))</f>
        <v>-181.8414383767495</v>
      </c>
      <c r="E82" s="62">
        <v>0</v>
      </c>
      <c r="F82" s="7"/>
      <c r="G82" s="7"/>
      <c r="H82" s="51">
        <f aca="true" t="shared" si="9" ref="H82:H137">B82*$F$5</f>
        <v>0.13672098446348235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2.75">
      <c r="A83" s="49">
        <f t="shared" si="5"/>
        <v>0.6000000000000045</v>
      </c>
      <c r="B83" s="51">
        <f t="shared" si="6"/>
        <v>1.47292891835197</v>
      </c>
      <c r="C83" s="51">
        <f t="shared" si="7"/>
        <v>78.30174856625553</v>
      </c>
      <c r="D83" s="51">
        <f t="shared" si="8"/>
        <v>-166.98614050987823</v>
      </c>
      <c r="E83" s="62">
        <v>0</v>
      </c>
      <c r="F83" s="7"/>
      <c r="G83" s="7"/>
      <c r="H83" s="51">
        <f t="shared" si="9"/>
        <v>0.1325636026516773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8" ht="12.75">
      <c r="A84" s="49">
        <f t="shared" si="5"/>
        <v>0.7000000000000045</v>
      </c>
      <c r="B84" s="51">
        <f t="shared" si="6"/>
        <v>1.4221130545230338</v>
      </c>
      <c r="C84" s="51">
        <f t="shared" si="7"/>
        <v>62.32062719991127</v>
      </c>
      <c r="D84" s="51">
        <f t="shared" si="8"/>
        <v>-152.74303309876316</v>
      </c>
      <c r="E84" s="62">
        <v>0</v>
      </c>
      <c r="F84" s="7"/>
      <c r="G84" s="7"/>
      <c r="H84" s="51">
        <f t="shared" si="9"/>
        <v>0.12799017490707304</v>
      </c>
    </row>
    <row r="85" spans="1:8" ht="12.75">
      <c r="A85" s="49">
        <f t="shared" si="5"/>
        <v>0.8000000000000045</v>
      </c>
      <c r="B85" s="51">
        <f t="shared" si="6"/>
        <v>1.3676167970549338</v>
      </c>
      <c r="C85" s="51">
        <f t="shared" si="7"/>
        <v>47.730982271606834</v>
      </c>
      <c r="D85" s="51">
        <f t="shared" si="8"/>
        <v>-139.16433770472307</v>
      </c>
      <c r="E85" s="62">
        <v>0</v>
      </c>
      <c r="F85" s="7"/>
      <c r="G85" s="7"/>
      <c r="H85" s="51">
        <f t="shared" si="9"/>
        <v>0.12308551173494403</v>
      </c>
    </row>
    <row r="86" spans="1:8" ht="12.75">
      <c r="A86" s="49">
        <f t="shared" si="5"/>
        <v>0.9000000000000045</v>
      </c>
      <c r="B86" s="51">
        <f t="shared" si="6"/>
        <v>1.3103004855953437</v>
      </c>
      <c r="C86" s="51">
        <f t="shared" si="7"/>
        <v>34.464238811360396</v>
      </c>
      <c r="D86" s="51">
        <f t="shared" si="8"/>
        <v>-126.29092312151506</v>
      </c>
      <c r="E86" s="62">
        <v>0</v>
      </c>
      <c r="F86" s="7"/>
      <c r="G86" s="7"/>
      <c r="H86" s="51">
        <f t="shared" si="9"/>
        <v>0.11792704370358092</v>
      </c>
    </row>
    <row r="87" spans="1:8" ht="12.75">
      <c r="A87" s="49">
        <f t="shared" si="5"/>
        <v>1.0000000000000044</v>
      </c>
      <c r="B87" s="51">
        <f t="shared" si="6"/>
        <v>1.2509464973927307</v>
      </c>
      <c r="C87" s="51">
        <f t="shared" si="7"/>
        <v>22.448260394008063</v>
      </c>
      <c r="D87" s="51">
        <f t="shared" si="8"/>
        <v>-114.153313387406</v>
      </c>
      <c r="E87" s="62">
        <v>0</v>
      </c>
      <c r="F87" s="7"/>
      <c r="G87" s="7"/>
      <c r="H87" s="51">
        <f t="shared" si="9"/>
        <v>0.11258518476534575</v>
      </c>
    </row>
    <row r="88" spans="1:8" ht="12.75">
      <c r="A88" s="49">
        <f t="shared" si="5"/>
        <v>1.1000000000000045</v>
      </c>
      <c r="B88" s="51">
        <f t="shared" si="6"/>
        <v>1.1902634946133201</v>
      </c>
      <c r="C88" s="51">
        <f t="shared" si="7"/>
        <v>11.60833538081018</v>
      </c>
      <c r="D88" s="51">
        <f t="shared" si="8"/>
        <v>-102.77264354262304</v>
      </c>
      <c r="E88" s="62">
        <v>0</v>
      </c>
      <c r="F88" s="7"/>
      <c r="G88" s="7"/>
      <c r="H88" s="51">
        <f t="shared" si="9"/>
        <v>0.10712371451519881</v>
      </c>
    </row>
    <row r="89" spans="1:8" ht="12.75">
      <c r="A89" s="49">
        <f t="shared" si="5"/>
        <v>1.2000000000000046</v>
      </c>
      <c r="B89" s="51">
        <f t="shared" si="6"/>
        <v>1.128890823913051</v>
      </c>
      <c r="C89" s="51">
        <f t="shared" si="7"/>
        <v>1.868070296012479</v>
      </c>
      <c r="D89" s="51">
        <f t="shared" si="8"/>
        <v>-92.16156085327107</v>
      </c>
      <c r="E89" s="62">
        <v>0</v>
      </c>
      <c r="F89" s="7"/>
      <c r="G89" s="7"/>
      <c r="H89" s="51">
        <f t="shared" si="9"/>
        <v>0.1016001741521746</v>
      </c>
    </row>
    <row r="90" spans="1:8" ht="12.75">
      <c r="A90" s="49">
        <f t="shared" si="5"/>
        <v>1.3000000000000047</v>
      </c>
      <c r="B90" s="51">
        <f t="shared" si="6"/>
        <v>1.067403015576244</v>
      </c>
      <c r="C90" s="51">
        <f t="shared" si="7"/>
        <v>-6.849804123708706</v>
      </c>
      <c r="D90" s="51">
        <f t="shared" si="8"/>
        <v>-82.32506992081504</v>
      </c>
      <c r="E90" s="62">
        <v>0</v>
      </c>
      <c r="F90" s="7"/>
      <c r="G90" s="7"/>
      <c r="H90" s="51">
        <f t="shared" si="9"/>
        <v>0.09606627140186196</v>
      </c>
    </row>
    <row r="91" spans="1:8" ht="12.75">
      <c r="A91" s="49">
        <f t="shared" si="5"/>
        <v>1.4000000000000048</v>
      </c>
      <c r="B91" s="51">
        <f t="shared" si="6"/>
        <v>1.0063143346796797</v>
      </c>
      <c r="C91" s="51">
        <f t="shared" si="7"/>
        <v>-14.622708542991832</v>
      </c>
      <c r="D91" s="51">
        <f t="shared" si="8"/>
        <v>-73.26132072732939</v>
      </c>
      <c r="E91" s="62">
        <v>0</v>
      </c>
      <c r="F91" s="7"/>
      <c r="G91" s="7"/>
      <c r="H91" s="51">
        <f t="shared" si="9"/>
        <v>0.09056829012117117</v>
      </c>
    </row>
    <row r="92" spans="1:8" ht="12.75">
      <c r="A92" s="49">
        <f t="shared" si="5"/>
        <v>1.5000000000000049</v>
      </c>
      <c r="B92" s="51">
        <f t="shared" si="6"/>
        <v>0.9460833415541977</v>
      </c>
      <c r="C92" s="51">
        <f t="shared" si="7"/>
        <v>-21.52756657474416</v>
      </c>
      <c r="D92" s="51">
        <f t="shared" si="8"/>
        <v>-64.96233923505596</v>
      </c>
      <c r="E92" s="62">
        <v>0</v>
      </c>
      <c r="F92" s="7"/>
      <c r="G92" s="7"/>
      <c r="H92" s="51">
        <f t="shared" si="9"/>
        <v>0.08514750073987779</v>
      </c>
    </row>
    <row r="93" spans="1:8" ht="12.75">
      <c r="A93" s="49">
        <f t="shared" si="5"/>
        <v>1.600000000000005</v>
      </c>
      <c r="B93" s="51">
        <f t="shared" si="6"/>
        <v>0.8871174232918168</v>
      </c>
      <c r="C93" s="51">
        <f t="shared" si="7"/>
        <v>-27.64022651813805</v>
      </c>
      <c r="D93" s="51">
        <f t="shared" si="8"/>
        <v>-57.41470066863172</v>
      </c>
      <c r="E93" s="62">
        <v>0</v>
      </c>
      <c r="F93" s="7"/>
      <c r="G93" s="7"/>
      <c r="H93" s="51">
        <f t="shared" si="9"/>
        <v>0.07984056809626351</v>
      </c>
    </row>
    <row r="94" spans="1:8" ht="12.75">
      <c r="A94" s="49">
        <f t="shared" si="5"/>
        <v>1.700000000000005</v>
      </c>
      <c r="B94" s="51">
        <f t="shared" si="6"/>
        <v>0.8297772621840582</v>
      </c>
      <c r="C94" s="51">
        <f t="shared" si="7"/>
        <v>-33.03494758152983</v>
      </c>
      <c r="D94" s="51">
        <f t="shared" si="8"/>
        <v>-50.6001460639004</v>
      </c>
      <c r="E94" s="62">
        <v>0</v>
      </c>
      <c r="F94" s="7"/>
      <c r="G94" s="7"/>
      <c r="H94" s="51">
        <f t="shared" si="9"/>
        <v>0.07467995359656524</v>
      </c>
    </row>
    <row r="95" spans="1:8" ht="12.75">
      <c r="A95" s="49">
        <f t="shared" si="5"/>
        <v>1.8000000000000052</v>
      </c>
      <c r="B95" s="51">
        <f t="shared" si="6"/>
        <v>0.7743812107786681</v>
      </c>
      <c r="C95" s="51">
        <f t="shared" si="7"/>
        <v>-37.78394496325087</v>
      </c>
      <c r="D95" s="51">
        <f t="shared" si="8"/>
        <v>-44.49614307276181</v>
      </c>
      <c r="E95" s="62">
        <v>0</v>
      </c>
      <c r="F95" s="7"/>
      <c r="G95" s="7"/>
      <c r="H95" s="51">
        <f t="shared" si="9"/>
        <v>0.06969430897008012</v>
      </c>
    </row>
    <row r="96" spans="1:8" ht="12.75">
      <c r="A96" s="49">
        <f t="shared" si="5"/>
        <v>1.9000000000000052</v>
      </c>
      <c r="B96" s="51">
        <f t="shared" si="6"/>
        <v>0.7212095467119587</v>
      </c>
      <c r="C96" s="51">
        <f t="shared" si="7"/>
        <v>-41.95698828051591</v>
      </c>
      <c r="D96" s="51">
        <f t="shared" si="8"/>
        <v>-39.0763923732483</v>
      </c>
      <c r="E96" s="62">
        <v>0</v>
      </c>
      <c r="F96" s="7"/>
      <c r="G96" s="7"/>
      <c r="H96" s="51">
        <f t="shared" si="9"/>
        <v>0.06490885920407628</v>
      </c>
    </row>
    <row r="97" spans="1:8" ht="12.75">
      <c r="A97" s="49">
        <f t="shared" si="5"/>
        <v>2.0000000000000053</v>
      </c>
      <c r="B97" s="51">
        <f t="shared" si="6"/>
        <v>0.6705085836193923</v>
      </c>
      <c r="C97" s="51">
        <f t="shared" si="7"/>
        <v>-45.621047987846225</v>
      </c>
      <c r="D97" s="51">
        <f t="shared" si="8"/>
        <v>-34.31128135208378</v>
      </c>
      <c r="E97" s="62">
        <v>0</v>
      </c>
      <c r="F97" s="7"/>
      <c r="G97" s="7"/>
      <c r="H97" s="51">
        <f t="shared" si="9"/>
        <v>0.0603457725257453</v>
      </c>
    </row>
    <row r="98" spans="1:8" ht="12.75">
      <c r="A98" s="49">
        <f t="shared" si="5"/>
        <v>2.1000000000000054</v>
      </c>
      <c r="B98" s="51">
        <f t="shared" si="6"/>
        <v>0.6224946172567161</v>
      </c>
      <c r="C98" s="51">
        <f t="shared" si="7"/>
        <v>-48.839984607450155</v>
      </c>
      <c r="D98" s="51">
        <f t="shared" si="8"/>
        <v>-30.168287007415014</v>
      </c>
      <c r="E98" s="62">
        <v>0</v>
      </c>
      <c r="F98" s="7"/>
      <c r="G98" s="7"/>
      <c r="H98" s="51">
        <f t="shared" si="9"/>
        <v>0.05602451555310444</v>
      </c>
    </row>
    <row r="99" spans="1:8" ht="12.75">
      <c r="A99" s="49">
        <f t="shared" si="5"/>
        <v>2.2000000000000055</v>
      </c>
      <c r="B99" s="51">
        <f t="shared" si="6"/>
        <v>0.5773576884885747</v>
      </c>
      <c r="C99" s="51">
        <f t="shared" si="7"/>
        <v>-51.674275801372694</v>
      </c>
      <c r="D99" s="51">
        <f t="shared" si="8"/>
        <v>-26.61233026611801</v>
      </c>
      <c r="E99" s="62">
        <v>0</v>
      </c>
      <c r="F99" s="7"/>
      <c r="G99" s="7"/>
      <c r="H99" s="51">
        <f t="shared" si="9"/>
        <v>0.05196219196397172</v>
      </c>
    </row>
    <row r="100" spans="1:8" ht="12.75">
      <c r="A100" s="49">
        <f t="shared" si="5"/>
        <v>2.3000000000000056</v>
      </c>
      <c r="B100" s="51">
        <f t="shared" si="6"/>
        <v>0.5352651470332842</v>
      </c>
      <c r="C100" s="51">
        <f t="shared" si="7"/>
        <v>-54.18077654573855</v>
      </c>
      <c r="D100" s="51">
        <f t="shared" si="8"/>
        <v>-23.606084126844596</v>
      </c>
      <c r="E100" s="62">
        <v>0</v>
      </c>
      <c r="F100" s="7"/>
      <c r="G100" s="7"/>
      <c r="H100" s="51">
        <f t="shared" si="9"/>
        <v>0.04817386323299558</v>
      </c>
    </row>
    <row r="101" spans="1:8" ht="12.75">
      <c r="A101" s="49">
        <f t="shared" si="5"/>
        <v>2.4000000000000057</v>
      </c>
      <c r="B101" s="51">
        <f t="shared" si="6"/>
        <v>0.49636500180491877</v>
      </c>
      <c r="C101" s="51">
        <f t="shared" si="7"/>
        <v>-56.412507918256004</v>
      </c>
      <c r="D101" s="51">
        <f t="shared" si="8"/>
        <v>-21.110238230390653</v>
      </c>
      <c r="E101" s="62">
        <v>0</v>
      </c>
      <c r="F101" s="7"/>
      <c r="G101" s="7"/>
      <c r="H101" s="51">
        <f t="shared" si="9"/>
        <v>0.044672850162442684</v>
      </c>
    </row>
    <row r="102" spans="1:8" ht="12.75">
      <c r="A102" s="49">
        <f t="shared" si="5"/>
        <v>2.5000000000000058</v>
      </c>
      <c r="B102" s="51">
        <f t="shared" si="6"/>
        <v>0.4607890453818311</v>
      </c>
      <c r="C102" s="51">
        <f t="shared" si="7"/>
        <v>-58.41847027885811</v>
      </c>
      <c r="D102" s="51">
        <f t="shared" si="8"/>
        <v>-19.083722626465025</v>
      </c>
      <c r="E102" s="62">
        <v>0</v>
      </c>
      <c r="F102" s="7"/>
      <c r="G102" s="7"/>
      <c r="H102" s="51">
        <f t="shared" si="9"/>
        <v>0.04147101408436479</v>
      </c>
    </row>
    <row r="103" spans="1:8" ht="12.75">
      <c r="A103" s="49">
        <f t="shared" si="5"/>
        <v>2.600000000000006</v>
      </c>
      <c r="B103" s="51">
        <f t="shared" si="6"/>
        <v>0.42865574156999486</v>
      </c>
      <c r="C103" s="51">
        <f t="shared" si="7"/>
        <v>-60.24347690780837</v>
      </c>
      <c r="D103" s="51">
        <f t="shared" si="8"/>
        <v>-17.48389365375124</v>
      </c>
      <c r="E103" s="62">
        <v>0</v>
      </c>
      <c r="F103" s="7"/>
      <c r="G103" s="7"/>
      <c r="H103" s="51">
        <f t="shared" si="9"/>
        <v>0.038579016741299536</v>
      </c>
    </row>
    <row r="104" spans="1:8" ht="12.75">
      <c r="A104" s="49">
        <f t="shared" si="5"/>
        <v>2.700000000000006</v>
      </c>
      <c r="B104" s="51">
        <f t="shared" si="6"/>
        <v>0.40007286623691785</v>
      </c>
      <c r="C104" s="51">
        <f t="shared" si="7"/>
        <v>-61.92800446397149</v>
      </c>
      <c r="D104" s="51">
        <f t="shared" si="8"/>
        <v>-16.266684981312054</v>
      </c>
      <c r="E104" s="62">
        <v>0</v>
      </c>
      <c r="F104" s="7"/>
      <c r="G104" s="7"/>
      <c r="H104" s="51">
        <f t="shared" si="9"/>
        <v>0.036006557961322606</v>
      </c>
    </row>
    <row r="105" spans="1:8" ht="12.75">
      <c r="A105" s="49">
        <f t="shared" si="5"/>
        <v>2.800000000000006</v>
      </c>
      <c r="B105" s="51">
        <f t="shared" si="6"/>
        <v>0.37513989258488206</v>
      </c>
      <c r="C105" s="51">
        <f t="shared" si="7"/>
        <v>-63.508056936724465</v>
      </c>
      <c r="D105" s="51">
        <f t="shared" si="8"/>
        <v>-15.386726976700364</v>
      </c>
      <c r="E105" s="62">
        <v>0</v>
      </c>
      <c r="F105" s="7"/>
      <c r="G105" s="7"/>
      <c r="H105" s="51">
        <f t="shared" si="9"/>
        <v>0.03376259033263938</v>
      </c>
    </row>
    <row r="106" spans="1:8" ht="12.75">
      <c r="A106" s="49">
        <f t="shared" si="5"/>
        <v>2.900000000000006</v>
      </c>
      <c r="B106" s="51">
        <f t="shared" si="6"/>
        <v>0.35395011282924604</v>
      </c>
      <c r="C106" s="51">
        <f t="shared" si="7"/>
        <v>-65.01504008690674</v>
      </c>
      <c r="D106" s="51">
        <f t="shared" si="8"/>
        <v>-14.79743767219715</v>
      </c>
      <c r="E106" s="62">
        <v>0</v>
      </c>
      <c r="F106" s="7"/>
      <c r="G106" s="7"/>
      <c r="H106" s="51">
        <f t="shared" si="9"/>
        <v>0.031855510154632144</v>
      </c>
    </row>
    <row r="107" spans="1:8" ht="12.75">
      <c r="A107" s="49">
        <f t="shared" si="5"/>
        <v>3.000000000000006</v>
      </c>
      <c r="B107" s="51">
        <f t="shared" si="6"/>
        <v>0.33659248886746423</v>
      </c>
      <c r="C107" s="51">
        <f t="shared" si="7"/>
        <v>-66.47564370427217</v>
      </c>
      <c r="D107" s="51">
        <f t="shared" si="8"/>
        <v>-14.451088697747418</v>
      </c>
      <c r="E107" s="62">
        <v>0</v>
      </c>
      <c r="F107" s="7"/>
      <c r="G107" s="7"/>
      <c r="H107" s="51">
        <f t="shared" si="9"/>
        <v>0.03029332399807178</v>
      </c>
    </row>
    <row r="108" spans="1:8" ht="12.75">
      <c r="A108" s="49">
        <f t="shared" si="5"/>
        <v>3.1000000000000063</v>
      </c>
      <c r="B108" s="51">
        <f t="shared" si="6"/>
        <v>0.32315322498690774</v>
      </c>
      <c r="C108" s="51">
        <f t="shared" si="7"/>
        <v>-67.9117293503292</v>
      </c>
      <c r="D108" s="51">
        <f t="shared" si="8"/>
        <v>-14.298849639517648</v>
      </c>
      <c r="E108" s="62">
        <v>0</v>
      </c>
      <c r="F108" s="7"/>
      <c r="G108" s="7"/>
      <c r="H108" s="51">
        <f t="shared" si="9"/>
        <v>0.029083790248821694</v>
      </c>
    </row>
    <row r="109" spans="1:8" ht="12.75">
      <c r="A109" s="49">
        <f t="shared" si="5"/>
        <v>3.2000000000000064</v>
      </c>
      <c r="B109" s="51">
        <f t="shared" si="6"/>
        <v>0.3137170559846317</v>
      </c>
      <c r="C109" s="51">
        <f t="shared" si="7"/>
        <v>-69.34022160565254</v>
      </c>
      <c r="D109" s="51">
        <f t="shared" si="8"/>
        <v>-14.290814368411064</v>
      </c>
      <c r="E109" s="62">
        <v>0</v>
      </c>
      <c r="F109" s="7"/>
      <c r="G109" s="7"/>
      <c r="H109" s="51">
        <f t="shared" si="9"/>
        <v>0.02823453503861685</v>
      </c>
    </row>
    <row r="110" spans="1:8" ht="12.75">
      <c r="A110" s="49">
        <f t="shared" si="5"/>
        <v>3.3000000000000065</v>
      </c>
      <c r="B110" s="51">
        <f t="shared" si="6"/>
        <v>0.3083682442805751</v>
      </c>
      <c r="C110" s="51">
        <f t="shared" si="7"/>
        <v>-70.77300119930898</v>
      </c>
      <c r="D110" s="51">
        <f t="shared" si="8"/>
        <v>-14.376012964951336</v>
      </c>
      <c r="E110" s="62">
        <v>0</v>
      </c>
      <c r="F110" s="7"/>
      <c r="G110" s="7"/>
      <c r="H110" s="51">
        <f t="shared" si="9"/>
        <v>0.027753141985251757</v>
      </c>
    </row>
    <row r="111" spans="1:8" ht="12.75">
      <c r="A111" s="49">
        <f t="shared" si="5"/>
        <v>3.4000000000000066</v>
      </c>
      <c r="B111" s="51">
        <f t="shared" si="6"/>
        <v>0.3071912797184167</v>
      </c>
      <c r="C111" s="51">
        <f t="shared" si="7"/>
        <v>-72.21679876469625</v>
      </c>
      <c r="D111" s="51">
        <f t="shared" si="8"/>
        <v>-14.502412947019138</v>
      </c>
      <c r="E111" s="62">
        <v>0</v>
      </c>
      <c r="F111" s="7"/>
      <c r="G111" s="7"/>
      <c r="H111" s="51">
        <f t="shared" si="9"/>
        <v>0.027647215174657503</v>
      </c>
    </row>
    <row r="112" spans="1:8" ht="12.75">
      <c r="A112" s="49">
        <f t="shared" si="5"/>
        <v>3.5000000000000067</v>
      </c>
      <c r="B112" s="51">
        <f t="shared" si="6"/>
        <v>0.31027127578708236</v>
      </c>
      <c r="C112" s="51">
        <f t="shared" si="7"/>
        <v>-73.67308834070379</v>
      </c>
      <c r="D112" s="51">
        <f t="shared" si="8"/>
        <v>-14.616913586068359</v>
      </c>
      <c r="E112" s="62">
        <v>0</v>
      </c>
      <c r="F112" s="7"/>
      <c r="G112" s="7"/>
      <c r="H112" s="51">
        <f t="shared" si="9"/>
        <v>0.02792441482083741</v>
      </c>
    </row>
    <row r="113" spans="1:8" ht="12.75">
      <c r="A113" s="49">
        <f t="shared" si="5"/>
        <v>3.6000000000000068</v>
      </c>
      <c r="B113" s="51">
        <f t="shared" si="6"/>
        <v>0.31769405598276007</v>
      </c>
      <c r="C113" s="51">
        <f t="shared" si="7"/>
        <v>-75.13798011961558</v>
      </c>
      <c r="D113" s="51">
        <f t="shared" si="8"/>
        <v>-14.66533717645322</v>
      </c>
      <c r="E113" s="62">
        <v>0</v>
      </c>
      <c r="F113" s="7"/>
      <c r="G113" s="7"/>
      <c r="H113" s="51">
        <f t="shared" si="9"/>
        <v>0.028592465038448405</v>
      </c>
    </row>
    <row r="114" spans="1:8" ht="12.75">
      <c r="A114" s="49">
        <f t="shared" si="5"/>
        <v>3.700000000000007</v>
      </c>
      <c r="B114" s="51">
        <f t="shared" si="6"/>
        <v>0.32954592398879945</v>
      </c>
      <c r="C114" s="51">
        <f t="shared" si="7"/>
        <v>-76.60211233360248</v>
      </c>
      <c r="D114" s="51">
        <f t="shared" si="8"/>
        <v>-14.59242120187581</v>
      </c>
      <c r="E114" s="62">
        <v>0</v>
      </c>
      <c r="F114" s="7"/>
      <c r="G114" s="7"/>
      <c r="H114" s="51">
        <f t="shared" si="9"/>
        <v>0.02965913315899195</v>
      </c>
    </row>
    <row r="115" spans="1:8" ht="12.75">
      <c r="A115" s="49">
        <f t="shared" si="5"/>
        <v>3.800000000000007</v>
      </c>
      <c r="B115" s="51">
        <f t="shared" si="6"/>
        <v>0.34591311130204994</v>
      </c>
      <c r="C115" s="51">
        <f t="shared" si="7"/>
        <v>-78.05054257004686</v>
      </c>
      <c r="D115" s="51">
        <f t="shared" si="8"/>
        <v>-14.341815422942176</v>
      </c>
      <c r="E115" s="62">
        <v>0</v>
      </c>
      <c r="F115" s="7"/>
      <c r="G115" s="7"/>
      <c r="H115" s="51">
        <f t="shared" si="9"/>
        <v>0.031132180017184492</v>
      </c>
    </row>
    <row r="116" spans="1:8" ht="12.75">
      <c r="A116" s="49">
        <f t="shared" si="5"/>
        <v>3.900000000000007</v>
      </c>
      <c r="B116" s="51">
        <f t="shared" si="6"/>
        <v>0.3668808959025205</v>
      </c>
      <c r="C116" s="51">
        <f t="shared" si="7"/>
        <v>-79.46263921236265</v>
      </c>
      <c r="D116" s="51">
        <f t="shared" si="8"/>
        <v>-13.85608799032506</v>
      </c>
      <c r="E116" s="62">
        <v>0</v>
      </c>
      <c r="F116" s="7"/>
      <c r="G116" s="7"/>
      <c r="H116" s="51">
        <f t="shared" si="9"/>
        <v>0.03301928063122684</v>
      </c>
    </row>
    <row r="117" spans="1:8" ht="12.75">
      <c r="A117" s="49">
        <f t="shared" si="5"/>
        <v>4.000000000000007</v>
      </c>
      <c r="B117" s="51">
        <f t="shared" si="6"/>
        <v>0.39253238557267994</v>
      </c>
      <c r="C117" s="51">
        <f t="shared" si="7"/>
        <v>-80.8119741174587</v>
      </c>
      <c r="D117" s="51">
        <f t="shared" si="8"/>
        <v>-13.076744768707096</v>
      </c>
      <c r="E117" s="62">
        <v>0</v>
      </c>
      <c r="F117" s="7"/>
      <c r="G117" s="7"/>
      <c r="H117" s="51">
        <f t="shared" si="9"/>
        <v>0.035327914701541195</v>
      </c>
    </row>
    <row r="118" spans="1:8" ht="12.75">
      <c r="A118" s="49">
        <f t="shared" si="5"/>
        <v>4.100000000000007</v>
      </c>
      <c r="B118" s="51">
        <f t="shared" si="6"/>
        <v>0.42294695954768263</v>
      </c>
      <c r="C118" s="51">
        <f t="shared" si="7"/>
        <v>-82.06621806352736</v>
      </c>
      <c r="D118" s="51">
        <f t="shared" si="8"/>
        <v>-11.944266136848443</v>
      </c>
      <c r="E118" s="62">
        <v>0</v>
      </c>
      <c r="F118" s="7"/>
      <c r="G118" s="7"/>
      <c r="H118" s="51">
        <f t="shared" si="9"/>
        <v>0.03806522635929144</v>
      </c>
    </row>
    <row r="119" spans="1:8" ht="12.75">
      <c r="A119" s="49">
        <f t="shared" si="5"/>
        <v>4.200000000000006</v>
      </c>
      <c r="B119" s="51">
        <f t="shared" si="6"/>
        <v>0.45819836234322575</v>
      </c>
      <c r="C119" s="51">
        <f t="shared" si="7"/>
        <v>-83.18704093232522</v>
      </c>
      <c r="D119" s="51">
        <f t="shared" si="8"/>
        <v>-10.398165607804414</v>
      </c>
      <c r="E119" s="62">
        <v>0</v>
      </c>
      <c r="F119" s="7"/>
      <c r="G119" s="7"/>
      <c r="H119" s="51">
        <f t="shared" si="9"/>
        <v>0.041237852610890316</v>
      </c>
    </row>
    <row r="120" spans="1:8" ht="12.75">
      <c r="A120" s="49">
        <f t="shared" si="5"/>
        <v>4.300000000000006</v>
      </c>
      <c r="B120" s="51">
        <f t="shared" si="6"/>
        <v>0.49835244388896843</v>
      </c>
      <c r="C120" s="51">
        <f t="shared" si="7"/>
        <v>-84.13001902834063</v>
      </c>
      <c r="D120" s="51">
        <f t="shared" si="8"/>
        <v>-8.377074689213543</v>
      </c>
      <c r="E120" s="62">
        <v>0</v>
      </c>
      <c r="F120" s="7"/>
      <c r="G120" s="7"/>
      <c r="H120" s="51">
        <f t="shared" si="9"/>
        <v>0.044851719950007155</v>
      </c>
    </row>
    <row r="121" spans="1:8" ht="12.75">
      <c r="A121" s="49">
        <f t="shared" si="5"/>
        <v>4.400000000000006</v>
      </c>
      <c r="B121" s="51">
        <f t="shared" si="6"/>
        <v>0.5434645405183315</v>
      </c>
      <c r="C121" s="51">
        <f t="shared" si="7"/>
        <v>-84.84455238285278</v>
      </c>
      <c r="D121" s="51">
        <f t="shared" si="8"/>
        <v>-5.818858475063172</v>
      </c>
      <c r="E121" s="62">
        <v>0</v>
      </c>
      <c r="F121" s="7"/>
      <c r="G121" s="7"/>
      <c r="H121" s="51">
        <f t="shared" si="9"/>
        <v>0.04891180864664983</v>
      </c>
    </row>
    <row r="122" spans="1:8" ht="12.75">
      <c r="A122" s="49">
        <f t="shared" si="5"/>
        <v>4.500000000000005</v>
      </c>
      <c r="B122" s="51">
        <f t="shared" si="6"/>
        <v>0.5935764919562867</v>
      </c>
      <c r="C122" s="51">
        <f t="shared" si="7"/>
        <v>-85.27379534334636</v>
      </c>
      <c r="D122" s="51">
        <f t="shared" si="8"/>
        <v>-2.660766525467003</v>
      </c>
      <c r="E122" s="62">
        <v>0</v>
      </c>
      <c r="F122" s="7"/>
      <c r="G122" s="7"/>
      <c r="H122" s="51">
        <f t="shared" si="9"/>
        <v>0.0534218842760658</v>
      </c>
    </row>
    <row r="123" spans="1:8" ht="12.75">
      <c r="A123" s="49">
        <f t="shared" si="5"/>
        <v>4.600000000000005</v>
      </c>
      <c r="B123" s="51">
        <f t="shared" si="6"/>
        <v>0.648713290232112</v>
      </c>
      <c r="C123" s="51">
        <f t="shared" si="7"/>
        <v>-85.35460420730595</v>
      </c>
      <c r="D123" s="51">
        <f t="shared" si="8"/>
        <v>1.1603763525238775</v>
      </c>
      <c r="E123" s="62">
        <v>0</v>
      </c>
      <c r="F123" s="7"/>
      <c r="G123" s="7"/>
      <c r="H123" s="51">
        <f t="shared" si="9"/>
        <v>0.058384196120890075</v>
      </c>
    </row>
    <row r="124" spans="1:8" ht="12.75">
      <c r="A124" s="49">
        <f t="shared" si="5"/>
        <v>4.700000000000005</v>
      </c>
      <c r="B124" s="51">
        <f t="shared" si="6"/>
        <v>0.7088793574510802</v>
      </c>
      <c r="C124" s="51">
        <f t="shared" si="7"/>
        <v>-85.0175061230835</v>
      </c>
      <c r="D124" s="51">
        <f t="shared" si="8"/>
        <v>5.707934764832711</v>
      </c>
      <c r="E124" s="62">
        <v>0</v>
      </c>
      <c r="F124" s="7"/>
      <c r="G124" s="7"/>
      <c r="H124" s="51">
        <f t="shared" si="9"/>
        <v>0.06379914217059722</v>
      </c>
    </row>
    <row r="125" spans="1:8" ht="12.75">
      <c r="A125" s="49">
        <f t="shared" si="5"/>
        <v>4.800000000000004</v>
      </c>
      <c r="B125" s="51">
        <f t="shared" si="6"/>
        <v>0.7740544506149344</v>
      </c>
      <c r="C125" s="51">
        <f t="shared" si="7"/>
        <v>-84.1866939480378</v>
      </c>
      <c r="D125" s="51">
        <f t="shared" si="8"/>
        <v>11.045178141751247</v>
      </c>
      <c r="E125" s="62">
        <v>0</v>
      </c>
      <c r="F125" s="7"/>
      <c r="G125" s="7"/>
      <c r="H125" s="51">
        <f t="shared" si="9"/>
        <v>0.06966490055534409</v>
      </c>
    </row>
    <row r="126" spans="1:8" ht="12.75">
      <c r="A126" s="49">
        <f t="shared" si="5"/>
        <v>4.900000000000004</v>
      </c>
      <c r="B126" s="51">
        <f t="shared" si="6"/>
        <v>0.8441891932134179</v>
      </c>
      <c r="C126" s="51">
        <f t="shared" si="7"/>
        <v>-82.78005222390317</v>
      </c>
      <c r="D126" s="51">
        <f t="shared" si="8"/>
        <v>17.23494219811834</v>
      </c>
      <c r="E126" s="62">
        <v>0</v>
      </c>
      <c r="F126" s="7"/>
      <c r="G126" s="7"/>
      <c r="H126" s="51">
        <f t="shared" si="9"/>
        <v>0.07597702738920761</v>
      </c>
    </row>
    <row r="127" spans="1:8" ht="12.75">
      <c r="A127" s="49">
        <f t="shared" si="5"/>
        <v>5.0000000000000036</v>
      </c>
      <c r="B127" s="51">
        <f t="shared" si="6"/>
        <v>0.919200235145651</v>
      </c>
      <c r="C127" s="51">
        <f t="shared" si="7"/>
        <v>-80.70921989941999</v>
      </c>
      <c r="D127" s="51">
        <f t="shared" si="8"/>
        <v>24.339231747321232</v>
      </c>
      <c r="E127" s="62">
        <v>0</v>
      </c>
      <c r="F127" s="7"/>
      <c r="G127" s="7"/>
      <c r="H127" s="51">
        <f t="shared" si="9"/>
        <v>0.08272802116310858</v>
      </c>
    </row>
    <row r="128" spans="1:8" ht="12.75">
      <c r="A128" s="49">
        <f t="shared" si="5"/>
        <v>5.100000000000003</v>
      </c>
      <c r="B128" s="51">
        <f t="shared" si="6"/>
        <v>0.9989650446985705</v>
      </c>
      <c r="C128" s="51">
        <f t="shared" si="7"/>
        <v>-77.87969589833673</v>
      </c>
      <c r="D128" s="51">
        <f t="shared" si="8"/>
        <v>32.418760207096774</v>
      </c>
      <c r="E128" s="62">
        <v>0</v>
      </c>
      <c r="F128" s="7"/>
      <c r="G128" s="7"/>
      <c r="H128" s="51">
        <f t="shared" si="9"/>
        <v>0.08990685402287134</v>
      </c>
    </row>
    <row r="129" spans="1:8" ht="12.75">
      <c r="A129" s="49">
        <f t="shared" si="5"/>
        <v>5.200000000000003</v>
      </c>
      <c r="B129" s="51">
        <f t="shared" si="6"/>
        <v>1.0833163388374827</v>
      </c>
      <c r="C129" s="51">
        <f t="shared" si="7"/>
        <v>-74.19099409423555</v>
      </c>
      <c r="D129" s="51">
        <f t="shared" si="8"/>
        <v>41.532421197606574</v>
      </c>
      <c r="E129" s="62">
        <v>0</v>
      </c>
      <c r="F129" s="7"/>
      <c r="G129" s="7"/>
      <c r="H129" s="51">
        <f t="shared" si="9"/>
        <v>0.09749847049537344</v>
      </c>
    </row>
    <row r="130" spans="1:8" ht="12.75">
      <c r="A130" s="49">
        <f t="shared" si="5"/>
        <v>5.3000000000000025</v>
      </c>
      <c r="B130" s="51">
        <f t="shared" si="6"/>
        <v>1.1720361609783616</v>
      </c>
      <c r="C130" s="51">
        <f t="shared" si="7"/>
        <v>-69.53685470905556</v>
      </c>
      <c r="D130" s="51">
        <f t="shared" si="8"/>
        <v>51.736687729014484</v>
      </c>
      <c r="E130" s="62">
        <v>0</v>
      </c>
      <c r="F130" s="7"/>
      <c r="G130" s="7"/>
      <c r="H130" s="51">
        <f t="shared" si="9"/>
        <v>0.10548325448805254</v>
      </c>
    </row>
    <row r="131" spans="1:8" ht="12.75">
      <c r="A131" s="49">
        <f t="shared" si="5"/>
        <v>5.400000000000002</v>
      </c>
      <c r="B131" s="51">
        <f t="shared" si="6"/>
        <v>1.2648496187396623</v>
      </c>
      <c r="C131" s="51">
        <f t="shared" si="7"/>
        <v>-63.805519596009525</v>
      </c>
      <c r="D131" s="51">
        <f t="shared" si="8"/>
        <v>63.084934611852766</v>
      </c>
      <c r="E131" s="62">
        <v>0</v>
      </c>
      <c r="F131" s="7"/>
      <c r="G131" s="7"/>
      <c r="H131" s="51">
        <f t="shared" si="9"/>
        <v>0.1138364656865696</v>
      </c>
    </row>
    <row r="132" spans="1:8" ht="12.75">
      <c r="A132" s="49">
        <f t="shared" si="5"/>
        <v>5.500000000000002</v>
      </c>
      <c r="B132" s="51">
        <f t="shared" si="6"/>
        <v>1.361418297939255</v>
      </c>
      <c r="C132" s="51">
        <f t="shared" si="7"/>
        <v>-56.88007929562254</v>
      </c>
      <c r="D132" s="51">
        <f t="shared" si="8"/>
        <v>75.62667990419588</v>
      </c>
      <c r="E132" s="62">
        <v>0</v>
      </c>
      <c r="F132" s="7"/>
      <c r="G132" s="7"/>
      <c r="H132" s="51">
        <f t="shared" si="9"/>
        <v>0.12252764681453295</v>
      </c>
    </row>
    <row r="133" spans="1:8" ht="12.75">
      <c r="A133" s="49">
        <f t="shared" si="5"/>
        <v>5.600000000000001</v>
      </c>
      <c r="B133" s="51">
        <f t="shared" si="6"/>
        <v>1.4613333733348366</v>
      </c>
      <c r="C133" s="51">
        <f t="shared" si="7"/>
        <v>-48.638900161105674</v>
      </c>
      <c r="D133" s="51">
        <f t="shared" si="8"/>
        <v>89.40674144077377</v>
      </c>
      <c r="E133" s="62">
        <v>0</v>
      </c>
      <c r="F133" s="7"/>
      <c r="G133" s="7"/>
      <c r="H133" s="51">
        <f t="shared" si="9"/>
        <v>0.1315200036001353</v>
      </c>
    </row>
    <row r="134" spans="1:8" ht="12.75">
      <c r="A134" s="49">
        <f t="shared" si="5"/>
        <v>5.700000000000001</v>
      </c>
      <c r="B134" s="51">
        <f t="shared" si="6"/>
        <v>1.5641084413278277</v>
      </c>
      <c r="C134" s="51">
        <f t="shared" si="7"/>
        <v>-38.956140230886824</v>
      </c>
      <c r="D134" s="51">
        <f t="shared" si="8"/>
        <v>104.46430477665687</v>
      </c>
      <c r="E134" s="62">
        <v>0</v>
      </c>
      <c r="F134" s="7"/>
      <c r="G134" s="7"/>
      <c r="H134" s="51">
        <f t="shared" si="9"/>
        <v>0.14076975971950448</v>
      </c>
    </row>
    <row r="135" spans="1:8" ht="12.75">
      <c r="A135" s="49">
        <f t="shared" si="5"/>
        <v>5.800000000000001</v>
      </c>
      <c r="B135" s="51">
        <f t="shared" si="6"/>
        <v>1.669172105083769</v>
      </c>
      <c r="C135" s="51">
        <f t="shared" si="7"/>
        <v>-27.70236287589724</v>
      </c>
      <c r="D135" s="51">
        <f t="shared" si="8"/>
        <v>120.83189922833523</v>
      </c>
      <c r="E135" s="62">
        <v>0</v>
      </c>
      <c r="F135" s="7"/>
      <c r="G135" s="7"/>
      <c r="H135" s="51">
        <f t="shared" si="9"/>
        <v>0.1502254894575392</v>
      </c>
    </row>
    <row r="136" spans="1:8" ht="12.75">
      <c r="A136" s="49">
        <f t="shared" si="5"/>
        <v>5.9</v>
      </c>
      <c r="B136" s="51">
        <f t="shared" si="6"/>
        <v>1.7758603482872248</v>
      </c>
      <c r="C136" s="51">
        <f t="shared" si="7"/>
        <v>-14.745257560561539</v>
      </c>
      <c r="D136" s="51">
        <f t="shared" si="8"/>
        <v>138.5342791144762</v>
      </c>
      <c r="E136" s="62">
        <v>0</v>
      </c>
      <c r="F136" s="7"/>
      <c r="G136" s="7"/>
      <c r="H136" s="51">
        <f t="shared" si="9"/>
        <v>0.15982743134585023</v>
      </c>
    </row>
    <row r="137" spans="1:8" ht="12.75">
      <c r="A137" s="50">
        <f t="shared" si="5"/>
        <v>6</v>
      </c>
      <c r="B137" s="52">
        <f t="shared" si="6"/>
        <v>1.8834087400644195</v>
      </c>
      <c r="C137" s="52">
        <f t="shared" si="7"/>
        <v>0.04952267790261338</v>
      </c>
      <c r="D137" s="52">
        <f t="shared" si="8"/>
        <v>157.58720779418752</v>
      </c>
      <c r="E137" s="63">
        <v>0</v>
      </c>
      <c r="F137" s="7"/>
      <c r="G137" s="7"/>
      <c r="H137" s="52">
        <f t="shared" si="9"/>
        <v>0.16950678660579774</v>
      </c>
    </row>
    <row r="138" ht="12.75">
      <c r="A138" s="61"/>
    </row>
    <row r="139" ht="12.75">
      <c r="A139" s="61"/>
    </row>
    <row r="140" ht="12.75">
      <c r="A140" s="61"/>
    </row>
    <row r="141" ht="12.75">
      <c r="A141" s="61"/>
    </row>
    <row r="142" ht="12.75">
      <c r="A142" s="61"/>
    </row>
    <row r="143" ht="12.75">
      <c r="A143" s="61"/>
    </row>
    <row r="144" ht="12.75">
      <c r="A144" s="61"/>
    </row>
    <row r="145" ht="12.75">
      <c r="A145" s="61"/>
    </row>
    <row r="146" ht="12.75">
      <c r="A146" s="61"/>
    </row>
    <row r="147" ht="12.75">
      <c r="A147" s="61"/>
    </row>
    <row r="148" ht="12.75">
      <c r="A148" s="61"/>
    </row>
    <row r="149" ht="12.75">
      <c r="A149" s="61"/>
    </row>
  </sheetData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&amp;LAnalisi della trave di fondazione su suolo elastico&amp;R1° Prova Estemporanea per Allievi Edili</oddHeader>
    <oddFooter>&amp;LTecnica delle Costruzioni&amp;CProf. Pietro Gambarova&amp;RA.A 1999 -2000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Bassi Roberto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Bassi Roberto</dc:creator>
  <cp:keywords/>
  <dc:description/>
  <cp:lastModifiedBy>Bassi Roberto</cp:lastModifiedBy>
  <cp:lastPrinted>1999-10-06T21:49:55Z</cp:lastPrinted>
  <dcterms:created xsi:type="dcterms:W3CDTF">1999-10-01T18:10:40Z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