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456" windowHeight="4248" tabRatio="857" activeTab="5"/>
  </bookViews>
  <sheets>
    <sheet name="Introduzione" sheetId="1" r:id="rId1"/>
    <sheet name="Mission" sheetId="2" r:id="rId2"/>
    <sheet name="ricavi" sheetId="3" r:id="rId3"/>
    <sheet name="val e van" sheetId="4" r:id="rId4"/>
    <sheet name="stakeholder" sheetId="5" r:id="rId5"/>
    <sheet name="indicatori" sheetId="6" r:id="rId6"/>
    <sheet name="Conclusioni" sheetId="7" r:id="rId7"/>
  </sheets>
  <definedNames>
    <definedName name="_xlnm.Print_Area" localSheetId="6">'Conclusioni'!$A$1:$I$93</definedName>
    <definedName name="_xlnm.Print_Area" localSheetId="5">'indicatori'!$A$4:$I$279</definedName>
    <definedName name="_xlnm.Print_Area" localSheetId="0">'Introduzione'!$B$1:$J$47</definedName>
    <definedName name="_xlnm.Print_Area" localSheetId="1">'Mission'!$A$1:$I$67</definedName>
    <definedName name="_xlnm.Print_Area" localSheetId="2">'ricavi'!$A$1:$G$51</definedName>
    <definedName name="_xlnm.Print_Area" localSheetId="4">'stakeholder'!$A$1:$F$139</definedName>
  </definedNames>
  <calcPr fullCalcOnLoad="1"/>
</workbook>
</file>

<file path=xl/comments5.xml><?xml version="1.0" encoding="utf-8"?>
<comments xmlns="http://schemas.openxmlformats.org/spreadsheetml/2006/main">
  <authors>
    <author>Francesco Allemano</author>
  </authors>
  <commentList>
    <comment ref="D60" authorId="0">
      <text>
        <r>
          <rPr>
            <b/>
            <sz val="8"/>
            <rFont val="Tahoma"/>
            <family val="0"/>
          </rPr>
          <t>INCLUDE MANUTENZIONI E RIPARAZIONI, MANUTENZIONE AUTOMEZZI</t>
        </r>
      </text>
    </comment>
    <comment ref="D57" authorId="0">
      <text>
        <r>
          <rPr>
            <b/>
            <sz val="8"/>
            <rFont val="Tahoma"/>
            <family val="0"/>
          </rPr>
          <t>Fiorentini</t>
        </r>
      </text>
    </comment>
    <comment ref="D23" authorId="0">
      <text>
        <r>
          <rPr>
            <b/>
            <sz val="8"/>
            <rFont val="Tahoma"/>
            <family val="0"/>
          </rPr>
          <t>La voce oltre a convegni e aggiornamento contiene anche la voce spese varie connesse al personale per 118 euro</t>
        </r>
      </text>
    </comment>
  </commentList>
</comments>
</file>

<file path=xl/sharedStrings.xml><?xml version="1.0" encoding="utf-8"?>
<sst xmlns="http://schemas.openxmlformats.org/spreadsheetml/2006/main" count="397" uniqueCount="281">
  <si>
    <t>ore lavorate totali</t>
  </si>
  <si>
    <t>Tempo libero in città</t>
  </si>
  <si>
    <t>33</t>
  </si>
  <si>
    <t>Tempo libero cascina</t>
  </si>
  <si>
    <t>65</t>
  </si>
  <si>
    <t>Ippoterapia</t>
  </si>
  <si>
    <t>terapie effettuate</t>
  </si>
  <si>
    <t>1,35</t>
  </si>
  <si>
    <t>3,13</t>
  </si>
  <si>
    <r>
      <t>·</t>
    </r>
    <r>
      <rPr>
        <b/>
        <sz val="12"/>
        <rFont val="Times New Roman"/>
        <family val="1"/>
      </rPr>
      <t>Indicatore della composizione dei lavoratori per sesso</t>
    </r>
  </si>
  <si>
    <t>donne</t>
  </si>
  <si>
    <t>uomini</t>
  </si>
  <si>
    <t>= 6,1</t>
  </si>
  <si>
    <t>E' interessante anche esaminare la composizione del patrimonio della cooperativa per comprendere eventuali percorsi di patrimonializzazione della cooperativa.</t>
  </si>
  <si>
    <t>utenti serviti</t>
  </si>
  <si>
    <t>=</t>
  </si>
  <si>
    <t>n° eventi</t>
  </si>
  <si>
    <t>n° persone</t>
  </si>
  <si>
    <t>giornate erogabili</t>
  </si>
  <si>
    <t>1469</t>
  </si>
  <si>
    <t>% di utilizzo</t>
  </si>
  <si>
    <t>L'analisi della soddisfazione dei lavoratori dovrebbe essere articolata su parecchi indicatori (indicatore di litigiosità, di puntualità, di disponibilità ad effettuare straordinari, ecc.) ma, sulla base dei dati disponibili, si è ritenuto opportuno evidenziare solo i seguenti indicatori:</t>
  </si>
  <si>
    <t>La prima fase consiste nella evidenziazione della “mission” della cooperativa. Per fare questo, avremmo potuto attivare una serie di questionari presso i soci al fine di individuare gli obiettivi di ogni singolo socio per poi definire sinteticamente l'obiettivo comune e condiviso. Abbiamo invece ritenuto più opportuno ed oggettivo far riferimento a due articoli del nostro statuto che definiscono lo scopo della cooperativa.</t>
  </si>
  <si>
    <t>La seconda fase consiste nella definizione del valore aggiunto lordo (V.A.L.) e del valore aggiunto netto (V.A.N.). Il valore aggiunto lordo (V.A.L.) si ottiene sottraendo ai ricavi del conto economico della cooperativa le spese per le materie prime prelevate dall'ambiente. Il  valore aggiunto netto (V.A.N.) si ottiene sottraendo al V.A.L. gli ammortamenti dell'anno. Il valore aggiunto netto (V.A.N.) rappresenta la ricchezza prodotta dalla cooperativa in questo anno.</t>
  </si>
  <si>
    <t>Si propone quindi di esaminare la relazione di Bilancio Sociale che é così articolata:</t>
  </si>
  <si>
    <t>Nell’anno 2001, Il Fontanile ha ottenuto da CISQ,  per il proprio Centro Polivalente Integrato (C.P.I.),  la certificazione di conformità alla norma UNI EN ISO 9002. La Certificazione di Qualità, richiesta ormai diffusamente soprattutto nelle gare per appalti pubblici, consente a Il Fontanile di presentarsi con riconosciuta credibilità sul mercato.   Sempre nell'anno 2001, Il Fontanile ha partecipato, con l'associazione ANFFAS e  la cooperativa Viridalia, al progetto della Fondazione di partecipazione Idea Vita  per la realizzazione di una piccola residenza per  disabili presso la Cascina Biblioteca.</t>
  </si>
  <si>
    <t>Determinazione del Valore Aggiunto Lordo (V.A.L.) e del Valore Aggiunto Netto (V.A.N.)</t>
  </si>
  <si>
    <t>Sono stati presi in considerazione il numero di assemblee e il numero di riunioni del consiglio di amministrazione svolti durante l'anno.</t>
  </si>
  <si>
    <t>Questo indicatore misura il grado di partecipazione dei soci ai momenti sociali della vita della cooperativa ed esprime  il senso di appartenenza dei singoli all'impresa sociale ed il livello di democrazia interna raggiunto.</t>
  </si>
  <si>
    <t>E' poi necessario individuare gli stakeholder, cioè tutti quei soggetti che, in modi diversi, possono influenzare o essere influenzati dalle attività dell’impresa e calcolare la distribuzione, tra di essi, della ricchezza prodotta.</t>
  </si>
  <si>
    <t>1. Definizione della “mission”</t>
  </si>
  <si>
    <t>2. Determinazione del valore aggiunto netto e sua ripartizione</t>
  </si>
  <si>
    <t>3. Indicatori</t>
  </si>
  <si>
    <t>4. Conclusioni</t>
  </si>
  <si>
    <t>di analizzare i dati in essa contenuti e di condividere le riflessioni esposte nelle Conclusioni.</t>
  </si>
  <si>
    <t>Esso, a differenza del bilancio civilistico, non possiede un indicatore sintetico, qual è appunto il risultato di esercizio, in grado di esprimere l’andamento dell’esercizio concluso. Dal punto di vista sociale, il giudizio può essere formulato sulla base dell'analisi della ripartizione del valore aggiunto netto, della sua distribuzione agli stakeholder e della valutazione di appropriati indicatori.</t>
  </si>
  <si>
    <t>comune di pioltello</t>
  </si>
  <si>
    <t>comune di Milano SFA</t>
  </si>
  <si>
    <t>comune di Cuggiono</t>
  </si>
  <si>
    <t>comune di Segrate</t>
  </si>
  <si>
    <t>da privati e famiglie</t>
  </si>
  <si>
    <t>differenza conversione euro</t>
  </si>
  <si>
    <t>arrotondamenti e abbuoni</t>
  </si>
  <si>
    <t>rimborso spese da utenti</t>
  </si>
  <si>
    <t>ricavi da manifestazioni</t>
  </si>
  <si>
    <t>ricavi da vacanze</t>
  </si>
  <si>
    <t>ricavi per sport e attività</t>
  </si>
  <si>
    <t>ricavi per attività di animazione</t>
  </si>
  <si>
    <t>proventi diversi</t>
  </si>
  <si>
    <t>da mondo no profit</t>
  </si>
  <si>
    <t>carburanti</t>
  </si>
  <si>
    <t>amm.to automezzo</t>
  </si>
  <si>
    <t>amm.to cavalli</t>
  </si>
  <si>
    <t>prodotti igienici</t>
  </si>
  <si>
    <t>materiale per esercitazione</t>
  </si>
  <si>
    <t>alimentari</t>
  </si>
  <si>
    <t>abbigliamento</t>
  </si>
  <si>
    <t>attrezzature e piccoli arredi</t>
  </si>
  <si>
    <t>pulizie locali</t>
  </si>
  <si>
    <t>manutenzione e riparazione</t>
  </si>
  <si>
    <t>quote associative</t>
  </si>
  <si>
    <t>abbonamenti e pubblicazioni</t>
  </si>
  <si>
    <t>canone assistenza tecnica</t>
  </si>
  <si>
    <t>spese telefoniche</t>
  </si>
  <si>
    <t>spese  postali</t>
  </si>
  <si>
    <t>spese bolli</t>
  </si>
  <si>
    <t>costi promozionali</t>
  </si>
  <si>
    <t>vitto e alloggi</t>
  </si>
  <si>
    <t>trasporti</t>
  </si>
  <si>
    <t>attività ricreative</t>
  </si>
  <si>
    <t>attività sportive ed educative</t>
  </si>
  <si>
    <t>somministrazione mensa</t>
  </si>
  <si>
    <t>Soci lavoratori, collaboratori, consulenti</t>
  </si>
  <si>
    <t>consulenze</t>
  </si>
  <si>
    <t>collaborazioni amministrative</t>
  </si>
  <si>
    <t>elaborazioni paghe</t>
  </si>
  <si>
    <t>elaborazioni contabilità</t>
  </si>
  <si>
    <t>collaboratori occasionali</t>
  </si>
  <si>
    <t>Co. Co. Co.</t>
  </si>
  <si>
    <t>oneri previdenziali su collaboratori</t>
  </si>
  <si>
    <t>inail su collaborazioni</t>
  </si>
  <si>
    <t>gestione ODC segreteria</t>
  </si>
  <si>
    <t>R.C. terzi e operatori</t>
  </si>
  <si>
    <t>INAIL utenti</t>
  </si>
  <si>
    <t>ass.ne infortuni</t>
  </si>
  <si>
    <t>ass.ne incendio e furto e rischi diversi</t>
  </si>
  <si>
    <t>ass.ne R.C. automezzi</t>
  </si>
  <si>
    <t>trattamento famiglia</t>
  </si>
  <si>
    <t>T.F.R.</t>
  </si>
  <si>
    <t>contributi INPS - escluso CUAF</t>
  </si>
  <si>
    <t>contributi inail</t>
  </si>
  <si>
    <t>13A mensilità</t>
  </si>
  <si>
    <t>contributo di revisione</t>
  </si>
  <si>
    <t>diritti</t>
  </si>
  <si>
    <t>contributo consortile</t>
  </si>
  <si>
    <t>spese non deducibili</t>
  </si>
  <si>
    <t>IRAP</t>
  </si>
  <si>
    <t>interessi passivi bancari</t>
  </si>
  <si>
    <t>spese bancarie</t>
  </si>
  <si>
    <t>altri interessi  e oneri finanziari</t>
  </si>
  <si>
    <t>Fondo sviluppo legge 59/92</t>
  </si>
  <si>
    <t>Utile d'esercizio</t>
  </si>
  <si>
    <t>(la ricchezza distribuita comprende anche i risultati della attività finanziaria)</t>
  </si>
  <si>
    <t>L'indicatore esprime la resa produttiva delle ore di lavoro prestate in cooperativa. Sono state prese in considerazione due situazioni:</t>
  </si>
  <si>
    <t>stipendi lordi</t>
  </si>
  <si>
    <t>da enti pubblici con rapporto diretto</t>
  </si>
  <si>
    <t>sopravvenienze attive</t>
  </si>
  <si>
    <t>da mondo profit</t>
  </si>
  <si>
    <t>da gestione finanziaria con profit</t>
  </si>
  <si>
    <t>interessi attivi c/c</t>
  </si>
  <si>
    <t>La società è una cooperativa che ha lo scopo di perseguire l’interesse generale della Comunità alla promozione umana e all’integrazione dei cittadini attraverso la gestione di servizi socio-sanitari, assistenziali ed educativi.</t>
  </si>
  <si>
    <t>La cooperativa si ispira ai principi della solidarietà sociale, è tassativamente apolitica e senza finalità di lucro e si propone, in via prioritaria ma non esclusiva, di offrire, nell’interesse mutualistico dei soci, servizi in campo sociale, assistenziale, educativo e formativo, volti a facilitare l’inserimento nella vita attiva di persone con handicap fisico, psichico o sensoriale, malati psichiatrici, minori e anziani, tossicodipendenti, alcolisti, malati terminali, extracomunitari, giovani in condizioni di disagio sociale, detenuti e quanti altri possono essere riconosciuti dalla società come persone in stato di emarginazione.</t>
  </si>
  <si>
    <t>La cooperativa intende collaborare con tutte le realtà sociali presenti sul territorio ed in particolare intende agire in stretta connessione con ANFFAS di cui fa proprie le finalità.</t>
  </si>
  <si>
    <t>Articolo 5</t>
  </si>
  <si>
    <t>In relazione a ciò la cooperativa può gestire stabilmente o temporaneamente, i seguenti servizi in campo sociale e riabilitativo rivolti a privati, imprese e non, enti pubblici quali Comuni, Provincie, Regioni e ASL.:</t>
  </si>
  <si>
    <t>a) attività, servizi e centri di riabilitazione;</t>
  </si>
  <si>
    <t>b) centri diurni, centri socio-educativi e residenziali, di accoglienza e socializzazione quali comunità alloggio, terapeutiche e strutture di prima accoglienza e orientamento per le persone in stato di bisogno;</t>
  </si>
  <si>
    <t>c) centri diurni e residenziali ed altre strutture con carattere animativo culturale e del tempo libero finalizzate al miglioramento della qualità della vita;</t>
  </si>
  <si>
    <t>d) strutture alberghiere, case vacanza e campeggi, aperti a singoli, famiglie e a gruppi ed organizzazioni, con il fine di favorire il turismo sociale, purché pertinenti alla realizzazione degli scopi sociali;</t>
  </si>
  <si>
    <t>f) corsi di formazione volti alla qualificazione umana, culturale e professionale, nonché attività di ricerca e di consulenza;</t>
  </si>
  <si>
    <t>g) attività di sensibilizzazione e animazione della comunità sociale entro cui si opera, al fine di renderla più consapevole e disponibile all’attenzione e all’accoglienza delle persone in stato di bisogno;</t>
  </si>
  <si>
    <t>h) attività di promozione e sensibilizzazione dell’impegno delle istituzioni a favore delle persone deboli e svantaggiate e di affermazione dei loro diritti; a tal fine la cooperativa potrà produrre e vendere articoli, ricerche, libri, dispense e periodici su qualsiasi supporto tecnico e tecnologico;</t>
  </si>
  <si>
    <t>i) come attività secondaria possono essere intraprese attività di ristorazione collettiva, equitazione, attività sportive e ricreative aperte a tutta la cittadinanza purché siano ritenute utili alla realizzazione degli scopi sociali, inoltre possono essere aperti punti vendita occasionali o permanenti quali negozi al dettaglio, nei quali può essere venduto e commercializzato tutto ciò che viene prodotto in proprio con scopo ergoterapeutico e riabilitativo all’interno dei vari centri o acquistati da terzi;</t>
  </si>
  <si>
    <t>l)la cooperativa può svolgere qualunque altra attività finalizzata al perseguimento dello scopo sociale nonché compiere tutti gli atti e concludere tutte le operazioni contrattuali di natura immobiliare, mobiliare e industriale,  purché necessarie ed utili alla realizzazione degli scopi sociali o comunque, sia direttamente che indirettamente attinenti ai medesimi. Per lo svolgimento di tutte le attività indicate può stipulare contratti, convenzioni, assumere servizi in appalto, in sostituzione o in forma complementare rispetto agli enti locali;</t>
  </si>
  <si>
    <t>m) la cooperativa inoltre, per stimolare e favorire lo spirito di previdenza e di risparmio dei soci, potrà istituire una sezione di attività, disciplinata da apposito regolamento, per la raccolta di prestiti limitati ai soli soci ed effettuata esclusivamente ai fini del perseguimento dell’oggetto sociale, in ottemperanza e nei limiti del dettato dei D.Lgs 385/1993 della delibera del CICR del 3/3/1994 e delle Istruzioni della Banca d’Italia del 12 dicembre 1994 e dell’Art. 13 del DPR 601/73 come modificato dall’art. 10 della L. 31/1/92 n. 59 e successive modificazioni ed integrazioni. E' pertanto tassativamente vietata la raccolta di risparmio tra il pubblico e/o tra i non soci sotto ogni forma;</t>
  </si>
  <si>
    <t>n) la cooperativa può costituire Fondi per lo sviluppo tecnologico e aziendale, la ristrutturazione ed il potenziamento aziendale, nonché adottare procedure di programmazione pluriennale sempre finalizzate allo sviluppo o all’ammodernamento aziendale, ai sensi della L. 31/1/92 n. 59 ed eventuali norme modificative ed integrative;</t>
  </si>
  <si>
    <t>o) per conseguire efficacemente gli obiettivi menzionati la cooperativa è inoltre fattivamente impegnata ad integrare e coordinare in modo permanente o per motivi e necessità contingenti, la propria attività con quella di altri enti cooperativi, promuovendo strutture consortili ed aderendo ad organizzazioni di associazionismo cooperativo, associazioni temporanee di impresa ed a qualsiasi altro tipo di società che la legge preveda nel corso dell’esistenza della cooperativa.</t>
  </si>
  <si>
    <t>e) servizi domiciliari assistenziali, infermieristici, animativi, educativi, di sostegno e riabilitazione, effettuati tanto presso la famiglia, quanto presso la scuola o altre strutture, asili nido, scuole materne, centri diurni e centri di servizio appositamente allestiti o messi a disposizione da enti pubblici o privati;</t>
  </si>
  <si>
    <t>da gestione accessoria</t>
  </si>
  <si>
    <t>Riclassificazione dei ricavi del conto economico e loro rappresentazione grafica</t>
  </si>
  <si>
    <t>amm.to macchine ufficio</t>
  </si>
  <si>
    <t>Il Bilancio Sociale è lo strumento atto a misurare "il valore aggiunto" generato dalle attività della cooperativa.</t>
  </si>
  <si>
    <t>La redazione del Bilancio Sociale si articola in tre fasi.</t>
  </si>
  <si>
    <t>tipologia di operatori</t>
  </si>
  <si>
    <t>n. ore lav.</t>
  </si>
  <si>
    <t>%</t>
  </si>
  <si>
    <t>totale ore lavorate</t>
  </si>
  <si>
    <r>
      <t>·</t>
    </r>
    <r>
      <rPr>
        <b/>
        <sz val="12"/>
        <rFont val="Times New Roman"/>
        <family val="1"/>
      </rPr>
      <t>Indicatore delle ore lavorate</t>
    </r>
  </si>
  <si>
    <t>anno 2001</t>
  </si>
  <si>
    <t>soci lavoratori</t>
  </si>
  <si>
    <t>dipendenti</t>
  </si>
  <si>
    <t xml:space="preserve"> volontari</t>
  </si>
  <si>
    <t xml:space="preserve"> </t>
  </si>
  <si>
    <t xml:space="preserve">n° ore </t>
  </si>
  <si>
    <t>totale ore lavorate complessivamente</t>
  </si>
  <si>
    <r>
      <t>·</t>
    </r>
    <r>
      <rPr>
        <b/>
        <sz val="12"/>
        <rFont val="Times New Roman"/>
        <family val="1"/>
      </rPr>
      <t>Indicatore di soddisfazione dei lavoratori</t>
    </r>
  </si>
  <si>
    <t>ore lavorate da personale con più di 2 anni di anzianità</t>
  </si>
  <si>
    <t>ore lavorate da personale con meno di 2 anni di anzianità</t>
  </si>
  <si>
    <t>assenze per malattia</t>
  </si>
  <si>
    <t>assenze per infortunio</t>
  </si>
  <si>
    <t>assenze per aspettativa e permessi</t>
  </si>
  <si>
    <t>ore lavorabili</t>
  </si>
  <si>
    <r>
      <t>·</t>
    </r>
    <r>
      <rPr>
        <b/>
        <sz val="12"/>
        <rFont val="Times New Roman"/>
        <family val="1"/>
      </rPr>
      <t>Indicatore della partecipazione alla attività sociale della cooperativa</t>
    </r>
  </si>
  <si>
    <t>n° convocazioni</t>
  </si>
  <si>
    <t>n° aventi diritto</t>
  </si>
  <si>
    <t>n° partecipanti</t>
  </si>
  <si>
    <t>Assemblee</t>
  </si>
  <si>
    <t>Consigli di amministrazione</t>
  </si>
  <si>
    <t>Tra gli aventi diritto sono stati considerati anche i revisori dei conti</t>
  </si>
  <si>
    <r>
      <t>·</t>
    </r>
    <r>
      <rPr>
        <b/>
        <sz val="12"/>
        <rFont val="Times New Roman"/>
        <family val="1"/>
      </rPr>
      <t>Indicatori di solidità e provenienza patrimoniale</t>
    </r>
  </si>
  <si>
    <t>fatturato</t>
  </si>
  <si>
    <t>patrimonio netto</t>
  </si>
  <si>
    <t>composizione del patrimonio</t>
  </si>
  <si>
    <t>riserve</t>
  </si>
  <si>
    <t>capitale sociale</t>
  </si>
  <si>
    <t>totale</t>
  </si>
  <si>
    <t>% di partecipazio.</t>
  </si>
  <si>
    <t>Gli articoli  4 e 5 del nostro statuto, che qui richiamiamo, esprimono lo scopo sociale della cooperativa:</t>
  </si>
  <si>
    <t>Articolo 4</t>
  </si>
  <si>
    <t>A</t>
  </si>
  <si>
    <t>totale dei ricavi</t>
  </si>
  <si>
    <t>materie prime prelevate</t>
  </si>
  <si>
    <t>cancelleria</t>
  </si>
  <si>
    <t>B</t>
  </si>
  <si>
    <t>totale materie prime prelevate</t>
  </si>
  <si>
    <t>Valore aggiunto lordo</t>
  </si>
  <si>
    <t>C</t>
  </si>
  <si>
    <t>valore aggiunto lordo</t>
  </si>
  <si>
    <t>D</t>
  </si>
  <si>
    <t>ammortamenti</t>
  </si>
  <si>
    <t>amm.to spese costituzione</t>
  </si>
  <si>
    <t>amm.to software</t>
  </si>
  <si>
    <t>Valore aggiunto netto</t>
  </si>
  <si>
    <t>enti ed amministrazioni statali</t>
  </si>
  <si>
    <t>finanziatori ordinari</t>
  </si>
  <si>
    <t>finanziatori soci</t>
  </si>
  <si>
    <t>impresa sociale</t>
  </si>
  <si>
    <t>organizzazioni cooperative</t>
  </si>
  <si>
    <t>ente locale (comune e regione)</t>
  </si>
  <si>
    <t>organizzazioni profit</t>
  </si>
  <si>
    <t>ricchezza distribuita agli stakeholder</t>
  </si>
  <si>
    <t>sopravvenienze passive</t>
  </si>
  <si>
    <t>Distribuzione della ricchezza agli apportatori di interessi (Stakeholder)</t>
  </si>
  <si>
    <t>Da Regione Lombardia per SFA</t>
  </si>
  <si>
    <t>obiettori di coscienza</t>
  </si>
  <si>
    <t xml:space="preserve">prestatori d'opera </t>
  </si>
  <si>
    <t>ore lavoro retribuite</t>
  </si>
  <si>
    <t>ore lavoro totali</t>
  </si>
  <si>
    <t>C.P.I.</t>
  </si>
  <si>
    <t>Anno 2001</t>
  </si>
  <si>
    <t xml:space="preserve">La terza fase consiste nella definizione di una classe di indicatori in grado di esprimere, attraverso sintetici valori, l’azione sociale della cooperativa. In questa prima edizione del Bilancio Sociale, abbiamo individuato alcuni indicatori, ma è nostra intenzione, per il futuro, affinare e consolidare le procedure di raccolta dei dati elementari al fine di potere arricchire l'insieme degli indicatori.                                                                                                                                                                                                                                                                                                                                                                                                                                               </t>
  </si>
  <si>
    <t>Gli indicatori qui riportati sono strumenti sintetici in grado di mettere in evidenza e di misurare alcune caratteristiche della cooperativa per quanto concerne la sua peculiare attività sociale. Questo è il primo anno che la cooperativa Il Fontanile redige il bilancio sociale e solo alcuni indicatori sono disponibili. Altri indicatori sono stati  individuati e si stanno predisponendo le procedure di raccolta dei dati elementari per poterli, in futuro, valutare.</t>
  </si>
  <si>
    <t>Ogni indicatore è corredato dalla rappresentazione grafica a torta.</t>
  </si>
  <si>
    <t>1. La percentuale delle ore lavorate da personale con anzianità superiore o inferiore a 2 anni.</t>
  </si>
  <si>
    <t>Indicatori di questo tipo sono importanti anche per il terzo settore in quanto anche le realtà aziendali no profit possono e devono essere adeguatamente patrimonializzate.</t>
  </si>
  <si>
    <t>1. Produttività delle ore di lavoro  calcolata dividendo il fatturato per le ore di lavoro retribuite:</t>
  </si>
  <si>
    <t>In una impresa sociale, può apparire impropria l'attenzione a questo tipo di indicatori ma il rapporto con l'ente pubblico e con le altre realtà del settore ci inducono a tenere sotto controllo questo valore.</t>
  </si>
  <si>
    <t>3. Con questo indicatore si vuole mettere in evidenza il n° di eventi che si sono succeduti negli spazi a disposizione della cooperativa in cascina ed il n° di persone che vi hanno partecipato e che quindi hanno potuto prendere contatto con la realtà della cooperativa Il Fontanile e della Cascina Biblioteca</t>
  </si>
  <si>
    <t>6. Per il servizio dell'Ippoterapia è stato possibile individuare un indice che rapporta il n° delle ore di lavoro totali effettuate al n° di prestazioni di ippoterapia erogate</t>
  </si>
  <si>
    <t xml:space="preserve">7. Per il C.P.I. è stato possibile individuare anche un indice che mette in rapporto le ore totali lavorate con il n° di giornate/utente servizio offerte lavorate ovvero quante ore di lavoro la cooperativa ha dovuto impiegare per offrire una giornata di servizio </t>
  </si>
  <si>
    <r>
      <t>·</t>
    </r>
    <r>
      <rPr>
        <b/>
        <sz val="12"/>
        <rFont val="Times New Roman"/>
        <family val="1"/>
      </rPr>
      <t>Indicatori di produttività sociale ed economica</t>
    </r>
  </si>
  <si>
    <t>2. E' interessante valutare questo indice inserendo al denominatorte il numero totale di ore lavorate (includendo anche il lavoro degli obiettori di coscienza e dei volontari):</t>
  </si>
  <si>
    <t>4.Questo indicatore si riferisce al servizio del Centro Polivalente Integrato frequentato, nel corso dell'anno, da 9 soggetti. Esso mette in evidenza il n° di giornate del servizio erogabili e il n° delle giornate effettivamente fruite dall'utenza, con l'ipotesi che una elevata fruizione del servizio è legata ad un apprezzamento dello stesso da parte degli utenti e delle famiglie.</t>
  </si>
  <si>
    <t>La nostra cooperativa, a partire da quest’anno, ha deciso di redigere il Bilancio Sociale e di considerarlo uno strumento  di lavoro utile sia alla verifica della efficienza e della efficacia raggiunte dalla cooperativa nel perseguire gli obiettivi sociali che alla pianificazione degli interventi più opportuni da attuare.</t>
  </si>
  <si>
    <t>Il Bilancio Sociale è ancora uno strumento innovativo. Se ne parla diffusamente in letteratura ma non esistono, ad oggi, molti esemplari reali.</t>
  </si>
  <si>
    <t>La redazione del primo Bilancio Sociale ha richiesto un cospicuo impegno nella raccolta dei dati elementari e nella valutazione della loro attendibilità.</t>
  </si>
  <si>
    <t>Il lavoro svolto quest’anno è comunque prezioso ed è servito per evidenziare altre categorie di dati elementari da raccogliere per arricchire l’analisi dell’azione svolta dalla cooperativa e per approfondire la conoscenza delle modalità con le quali essa opera.</t>
  </si>
  <si>
    <t>Si sono inoltre individuate alcune procedure per la raccolta sistematica dei dati in modo da ridurre, per il futuro, l’impegno nella redazione del Bilancio Sociale e conferire sempre maggior rigore ai valori in esso riportati.</t>
  </si>
  <si>
    <t>Sarà così possibile costruire e disporre di una storia dei risultati della cooperativa negli anni, confrontare i traguardi via via raggiunti e verificarne la coerenza con i valori espressi nella Mission.</t>
  </si>
  <si>
    <t>Con la convinzione che il Bilancio Sociale è uno strumento di trasparenza e di ausilio per favorire la massima comprensione da parte della utenza in genere, sia pubblica che privata, delle scelte e delle modalità di operare della cooperativa, dopo l'approvazione del Bilancio da parte dell'Assemblea, provvederemo a pubblicare sul nostro sito www.ilfontanile.it il Bilancio Sociale  2001.</t>
  </si>
  <si>
    <r>
      <t xml:space="preserve">A - </t>
    </r>
    <r>
      <rPr>
        <sz val="12"/>
        <color indexed="10"/>
        <rFont val="Times New Roman"/>
        <family val="1"/>
      </rPr>
      <t>B</t>
    </r>
  </si>
  <si>
    <r>
      <t>C</t>
    </r>
    <r>
      <rPr>
        <sz val="12"/>
        <rFont val="Times New Roman"/>
        <family val="1"/>
      </rPr>
      <t xml:space="preserve"> -</t>
    </r>
    <r>
      <rPr>
        <sz val="12"/>
        <color indexed="10"/>
        <rFont val="Times New Roman"/>
        <family val="1"/>
      </rPr>
      <t xml:space="preserve"> D</t>
    </r>
  </si>
  <si>
    <t>Analizziamo ora il Bilancio Sociale 2001.</t>
  </si>
  <si>
    <t>La riclassificazione dei ricavi evidenzia la capacità della cooperativa di trarre circa i tre quarti del proprio fatturato dalla fonte privata e da quella pubblica in modo sostanzialmente equilibrato (44,7% dalla fonte privata, 33% dalla fonte pubblica). Questo risultato indica che le attività svolte dalla cooperativa hanno una solida base di concretezza e conferisce alla cooperativa la possibilità di operare le scelte che ritiene più adeguate e di cogliere le migliori opportunità che le tipologie di clienti offrono.</t>
  </si>
  <si>
    <t>L’esame della distribuzione della ricchezza agli stakeholder evidenzia che il 63,6% di essa compete ai soci lavoratori ed ai collaboratori, che risultano quindi i maggiori beneficiari tra i soggetti apportatori di interessi. Le organizzazioni cooperative seguono con una quota parte del 13,9% della ricchezza prodotta. Il risultato è frutto delle numerose collaborazioni che Il Fontanile ha istituito con altre cooperative sociali.</t>
  </si>
  <si>
    <t>I risultati sono in linea con lo spirito della cooperativa e sarà interessante, gli anni venturi, confrontare i risultati ottenuti nel tempo e analizzare l’andamento.</t>
  </si>
  <si>
    <t>L’esame del valore degli indicatori, pur non disponendo di una storia e quindi della possibilità di un confronto, suggerisce le riflessioni di seguito riportate.</t>
  </si>
  <si>
    <t>L’indicatore delle ore lavorate evidenzia che l’impegno maggiore nella fornitura dei servizi agli utenti della cooperativa è sostenuto dai soci lavoratori con il 30,8% delle ore lavorate.</t>
  </si>
  <si>
    <t xml:space="preserve">Gli obiettori di coscienza, che coprono il 32% delle ore lavorate, sono infatti impiegati anche nell’accudire i cavalli nei giorni festivi, durante i fine settimana le vacanze estive. </t>
  </si>
  <si>
    <t xml:space="preserve">L’indicatore della composizione dei lavoratori per sesso mostra il sostanziale equilibrio fra operatori dei due sessi. Questa situazione giova ai rapporti relazionali con i ragazzi utenti dei servizi della cooperativa in quanto rende l’ambiente completo e ricco di stimoli diversi. </t>
  </si>
  <si>
    <t>L’indicatore di soddisfazione dei lavoratori, tenuto conto che le attività de Il Fontanile sono iniziate tre anni fa, evidenzia la stabilità degli operatori presenti fino dall’avvio ai quali, successivamente, se ne sono aggiunti di nuovi.</t>
  </si>
  <si>
    <t>Gli indicatori di produttività sociale ed economica richiedono una particolare attenzione ed un costante monitoraggio.</t>
  </si>
  <si>
    <t xml:space="preserve">La produttività delle ore di lavoro è fortemente influenzata dalla presenza degli obiettori di coscienza e dei volontari (si passa dalle 51.225 lire all’ora, considerando solo le ore di lavoro retribuite, alle 26.995 lire all’ora, se si considerano anche le ore di lavoro prestate dagli obiettori di coscienza e dai volontari), ma occorre sottolineare che questa variazione quantitativa non incide sulla qualità del servizio fornito in quanto tutte le attività con gli utenti sono svolte dal personale professionalmente preparato. </t>
  </si>
  <si>
    <t xml:space="preserve">Il numero di eventi che si sono svolti in Cascina nel corso dell’anno (72) ed il numero di persone che vi hanno partecipato (2180) sono la prova che la Cascina si avvia ad essere un riconosciuto e noto luogo di incontro e di socializzazione sul territorio. </t>
  </si>
  <si>
    <t>La cooperativa è determinata a continuare in questa opera di valorizzazione dell’ambiente e di progressiva integrazione con le realtà presenti in zona ed è consapevole delle benefiche ricadute che una strategia di apertura induce sulla qualità della vita dei ragazzi disabili utenti dei servizi.</t>
  </si>
  <si>
    <t>I servizi del tempo libero hanno offerto una preziosa opportunità per 54 ragazzi che hanno avuto pertanto l’occasione di vivere momenti di svago al di fuori delle abituali occupazioni; l’attività dell’ippoterapia ha inoltre erogate 853 terapie delle quali 315 sono state effettuate a utenti del centro socio educativo Pia Marta a dimostrazione dell’ormai consolidata valenza terapeutica di questa attività per la quale la cooperativa, sempre nella logica della valorizzazione della cascina biblioteca, investire per un suo potenziamento.</t>
  </si>
  <si>
    <t>Il Centro Polivalente Integrato, servizio che ha fra l’altro ottenuto la certificazione di qualità alla fine del 2001, articola le sue proposte su un ampio ventaglio di opportunità occupazionali che comprendono: la pulizia dei box dei cavalli, la cura dei piccoli animali, il riordino della mensa, il taglio dell’erba e della legna, le piccole manutenzioni, attività didattiche, piscina.</t>
  </si>
  <si>
    <t>L’alta percentuale di giornate di servizio effettivamente fruite dall’utenza (89%) mostra che sia i ragazzi disabili che le loro famiglie colgono ed apprezzano la ricchezza e la qualità delle proposte.</t>
  </si>
  <si>
    <t>La programmazione delle attività che i ragazzi disabili svolgono e la successiva verifica degli obiettivi raggiunti sono oggetto di riunioni settimanali degli operatori e con i ragazzi disabili stessi che, da queste occasioni, traggono esperienze di comunicazione e di socializzazione.</t>
  </si>
  <si>
    <t>L'esame dell'andamento degli Indicatori conferma l'alto valore che attribuiamo alla forma cooperativa, al rispetto per le persone svantaggiate ed alle azioni miranti alla loro massima integrazione e la coerenza del nostro operare con la Mission de Il Fontanile.</t>
  </si>
  <si>
    <t>La valenza sociale della nostra impresa è testimoniata dal complesso dei risultati.</t>
  </si>
  <si>
    <t>E' comunque indispensabile svolgere una costante azione di monitoraggio al fine di prevenire ed evitare cadute di qualità.</t>
  </si>
  <si>
    <t>Pensiamo che la conoscenza dei dati del Bilancio Sociale e la consapevolezza della bontà dei risultati raggiunti siano un valido stimolo per proseguire con impegno il cammino.</t>
  </si>
  <si>
    <t xml:space="preserve">Le riunioni tra gli operatori, che periodicamente si confrontano con le famiglie e con gli enti invianti,  costituiscono una azione di formazione permanente alla quale potranno essere affiancati momenti di formazione più tradizionali e strutturati. </t>
  </si>
  <si>
    <t>giornate erogate</t>
  </si>
  <si>
    <t>L'indicatore esprime la capacità della cooperativa  di offrire possibilità di lavoro a personale di entrambi i sessi.(sono escluse le ore lavorate dagli obiettori di coscienza)</t>
  </si>
  <si>
    <t>560</t>
  </si>
  <si>
    <t>anno 2002</t>
  </si>
  <si>
    <t>Anno 2002</t>
  </si>
  <si>
    <t>da enti pubblici mediato da consorzi</t>
  </si>
  <si>
    <t>interventi ADH - SIR</t>
  </si>
  <si>
    <t>adh interventi privati</t>
  </si>
  <si>
    <t>ricavi per prestazioni da privati (CPI)</t>
  </si>
  <si>
    <t xml:space="preserve">liberalità e contributi-donaz. di solidarietà </t>
  </si>
  <si>
    <t>contributo da utenti</t>
  </si>
  <si>
    <t>amm.to maneggio</t>
  </si>
  <si>
    <t>consulenze - spese veterinarie</t>
  </si>
  <si>
    <t>collaborazioni tecniche</t>
  </si>
  <si>
    <t>partecipaz.a convegni e aggiornamento</t>
  </si>
  <si>
    <t>tasse indeducibili e sanzioni</t>
  </si>
  <si>
    <t>sconti e abbuoni passivi e minusvalenze</t>
  </si>
  <si>
    <t xml:space="preserve"> anno 2001</t>
  </si>
  <si>
    <t xml:space="preserve">   anno 2002</t>
  </si>
  <si>
    <t>= €/ora.</t>
  </si>
  <si>
    <t xml:space="preserve">=€/ora </t>
  </si>
  <si>
    <t>Questo indicatore esprime il rapporto tra i ricavi e il patrimonio netto della cooperativa:</t>
  </si>
  <si>
    <t>ricavi</t>
  </si>
  <si>
    <t>=7,6</t>
  </si>
  <si>
    <t>=€/ora</t>
  </si>
  <si>
    <t>= €/ora</t>
  </si>
  <si>
    <t>verifica dato</t>
  </si>
  <si>
    <t xml:space="preserve">L'indicatore fornisce la percentuale di ore effettivamente lavorate da ciascuna delle tipologie di operatori presenti: i soci lavoratori (iscritti a libro matricola), i dipendenti, i prestatori d'opera (in collaborazione coordinata continuativa (Co.Co.Co.) e in prestazione occasionale), gli obiettori di coscienza ed i volontari . </t>
  </si>
  <si>
    <t>1483</t>
  </si>
  <si>
    <t>1738</t>
  </si>
  <si>
    <t>Carissimi soci, quest'anno presentiamo la seconda edizione del bilancio sociale della cooperativa Il Fontanile</t>
  </si>
  <si>
    <t>(16)</t>
  </si>
  <si>
    <t>Il numero dei partecipanti è stato rapportato al numero degli aventi diritto; per quanro riguarda le assemblee tra parentesi per l'anno 2002 sono state evidenziate le presenze per delega in quanto anche se formalmente sono equiparabili alle presenze sostanzialmente una presenza per delega ha un valore diverso rispetto ad una presenza fisica.</t>
  </si>
  <si>
    <r>
      <t>5. Indice di presa in carico dell'utente:</t>
    </r>
    <r>
      <rPr>
        <b/>
        <sz val="12"/>
        <rFont val="Times New Roman"/>
        <family val="1"/>
      </rPr>
      <t xml:space="preserve"> </t>
    </r>
    <r>
      <rPr>
        <sz val="12"/>
        <rFont val="Times New Roman"/>
        <family val="1"/>
      </rPr>
      <t>con questo indice, disponibile solo per tre servizi con comparazione sul biennio e dato solo per l'anno 2002 per il servizio vacanze della cooperativa, si vuole evidenziare quanto è presente il servizio stesso all'interno della progettualità complessiva della vita di ogni singolo utente ed esprime il n° di ore lavorate totali rapportate al n° di utenti che hanno fruito del servizio stesso.</t>
    </r>
  </si>
  <si>
    <t>2. La percentuale di ore di assenza per i soci lavoratori per ciascuna delle tre tipologie di assenza evidenziate (i dati sono riferiti esclusivamente al Centro Polivalente Integrato)</t>
  </si>
  <si>
    <t>ore lavorate da soci lavoratori</t>
  </si>
  <si>
    <t>75</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</si>
</sst>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0.0"/>
    <numFmt numFmtId="174" formatCode="#,##0.0"/>
    <numFmt numFmtId="175" formatCode="0.0%"/>
    <numFmt numFmtId="176" formatCode="&quot;L.&quot;\ #,##0"/>
    <numFmt numFmtId="177" formatCode="[$€-2]\ #.##000_);[Red]\([$€-2]\ #.##000\)"/>
    <numFmt numFmtId="178" formatCode="h\.mm\.ss"/>
    <numFmt numFmtId="179" formatCode="[$-410]dddd\ d\ mmmm\ yyyy"/>
    <numFmt numFmtId="180" formatCode="#,##0.000"/>
    <numFmt numFmtId="181" formatCode="0.000000000"/>
    <numFmt numFmtId="182" formatCode="0.0000000000"/>
    <numFmt numFmtId="183" formatCode="0.00000000"/>
    <numFmt numFmtId="184" formatCode="0.0000000"/>
    <numFmt numFmtId="185" formatCode="0.000000"/>
    <numFmt numFmtId="186" formatCode="0.00000"/>
    <numFmt numFmtId="187" formatCode="0.0000"/>
    <numFmt numFmtId="188" formatCode="0.000"/>
  </numFmts>
  <fonts count="59">
    <font>
      <sz val="10"/>
      <name val="Arial"/>
      <family val="0"/>
    </font>
    <font>
      <sz val="12"/>
      <name val="Symbol"/>
      <family val="1"/>
    </font>
    <font>
      <sz val="12"/>
      <name val="Times New Roman"/>
      <family val="1"/>
    </font>
    <font>
      <b/>
      <sz val="12"/>
      <name val="Times New Roman"/>
      <family val="1"/>
    </font>
    <font>
      <sz val="12"/>
      <name val="Arial"/>
      <family val="0"/>
    </font>
    <font>
      <sz val="10"/>
      <name val="Times New Roman"/>
      <family val="1"/>
    </font>
    <font>
      <sz val="8"/>
      <name val="Arial"/>
      <family val="2"/>
    </font>
    <font>
      <sz val="10"/>
      <color indexed="10"/>
      <name val="Arial"/>
      <family val="2"/>
    </font>
    <font>
      <i/>
      <sz val="10"/>
      <color indexed="10"/>
      <name val="Arial"/>
      <family val="2"/>
    </font>
    <font>
      <sz val="14"/>
      <name val="Arial"/>
      <family val="2"/>
    </font>
    <font>
      <i/>
      <sz val="12"/>
      <name val="Arial"/>
      <family val="2"/>
    </font>
    <font>
      <sz val="4.75"/>
      <name val="Arial"/>
      <family val="0"/>
    </font>
    <font>
      <sz val="10.25"/>
      <name val="Arial"/>
      <family val="0"/>
    </font>
    <font>
      <b/>
      <sz val="3"/>
      <name val="Arial"/>
      <family val="0"/>
    </font>
    <font>
      <sz val="2.5"/>
      <name val="Arial"/>
      <family val="0"/>
    </font>
    <font>
      <sz val="3"/>
      <name val="Arial"/>
      <family val="2"/>
    </font>
    <font>
      <sz val="2.75"/>
      <name val="Arial"/>
      <family val="0"/>
    </font>
    <font>
      <sz val="3.25"/>
      <name val="Arial"/>
      <family val="2"/>
    </font>
    <font>
      <b/>
      <sz val="3.25"/>
      <name val="Arial"/>
      <family val="0"/>
    </font>
    <font>
      <sz val="2"/>
      <name val="Arial"/>
      <family val="0"/>
    </font>
    <font>
      <sz val="2.25"/>
      <name val="Arial"/>
      <family val="0"/>
    </font>
    <font>
      <b/>
      <sz val="3.5"/>
      <name val="Arial"/>
      <family val="2"/>
    </font>
    <font>
      <sz val="8.5"/>
      <name val="Arial"/>
      <family val="0"/>
    </font>
    <font>
      <sz val="8.75"/>
      <name val="Arial"/>
      <family val="2"/>
    </font>
    <font>
      <sz val="9.5"/>
      <name val="Arial"/>
      <family val="0"/>
    </font>
    <font>
      <b/>
      <sz val="3.75"/>
      <name val="Arial"/>
      <family val="2"/>
    </font>
    <font>
      <sz val="11.25"/>
      <name val="Arial"/>
      <family val="2"/>
    </font>
    <font>
      <b/>
      <sz val="12"/>
      <name val="Arial"/>
      <family val="0"/>
    </font>
    <font>
      <sz val="11.75"/>
      <name val="Arial"/>
      <family val="0"/>
    </font>
    <font>
      <sz val="6.5"/>
      <name val="Arial"/>
      <family val="2"/>
    </font>
    <font>
      <sz val="13.5"/>
      <name val="Arial"/>
      <family val="2"/>
    </font>
    <font>
      <sz val="9"/>
      <name val="Times New Roman"/>
      <family val="1"/>
    </font>
    <font>
      <sz val="14"/>
      <name val="Times New Roman"/>
      <family val="1"/>
    </font>
    <font>
      <sz val="10"/>
      <color indexed="10"/>
      <name val="Times New Roman"/>
      <family val="1"/>
    </font>
    <font>
      <sz val="12"/>
      <color indexed="48"/>
      <name val="Times New Roman"/>
      <family val="1"/>
    </font>
    <font>
      <sz val="12"/>
      <color indexed="10"/>
      <name val="Times New Roman"/>
      <family val="1"/>
    </font>
    <font>
      <i/>
      <sz val="12"/>
      <color indexed="10"/>
      <name val="Times New Roman"/>
      <family val="1"/>
    </font>
    <font>
      <b/>
      <sz val="12"/>
      <color indexed="48"/>
      <name val="Times New Roman"/>
      <family val="1"/>
    </font>
    <font>
      <b/>
      <sz val="12"/>
      <color indexed="12"/>
      <name val="Times New Roman"/>
      <family val="1"/>
    </font>
    <font>
      <sz val="12"/>
      <color indexed="12"/>
      <name val="Times New Roman"/>
      <family val="1"/>
    </font>
    <font>
      <i/>
      <sz val="12"/>
      <name val="Times New Roman"/>
      <family val="1"/>
    </font>
    <font>
      <sz val="9.75"/>
      <name val="Arial"/>
      <family val="2"/>
    </font>
    <font>
      <i/>
      <sz val="13.75"/>
      <name val="Arial"/>
      <family val="2"/>
    </font>
    <font>
      <b/>
      <i/>
      <sz val="12"/>
      <name val="Arial"/>
      <family val="2"/>
    </font>
    <font>
      <b/>
      <sz val="8"/>
      <name val="Tahoma"/>
      <family val="0"/>
    </font>
    <font>
      <sz val="10.5"/>
      <name val="Arial"/>
      <family val="0"/>
    </font>
    <font>
      <b/>
      <sz val="9.25"/>
      <name val="Arial"/>
      <family val="0"/>
    </font>
    <font>
      <b/>
      <sz val="9.5"/>
      <name val="Arial"/>
      <family val="0"/>
    </font>
    <font>
      <sz val="10"/>
      <color indexed="48"/>
      <name val="Times New Roman"/>
      <family val="1"/>
    </font>
    <font>
      <b/>
      <sz val="10.25"/>
      <name val="Arial"/>
      <family val="2"/>
    </font>
    <font>
      <b/>
      <sz val="10"/>
      <name val="Arial"/>
      <family val="2"/>
    </font>
    <font>
      <b/>
      <sz val="9.75"/>
      <name val="Arial"/>
      <family val="2"/>
    </font>
    <font>
      <b/>
      <sz val="8.5"/>
      <name val="Arial"/>
      <family val="0"/>
    </font>
    <font>
      <b/>
      <sz val="9"/>
      <name val="Arial"/>
      <family val="0"/>
    </font>
    <font>
      <b/>
      <sz val="11.75"/>
      <name val="Arial"/>
      <family val="2"/>
    </font>
    <font>
      <b/>
      <sz val="11.25"/>
      <name val="Arial"/>
      <family val="0"/>
    </font>
    <font>
      <b/>
      <sz val="17.25"/>
      <name val="Arial"/>
      <family val="0"/>
    </font>
    <font>
      <sz val="14.25"/>
      <name val="Arial"/>
      <family val="0"/>
    </font>
    <font>
      <b/>
      <sz val="8"/>
      <name val="Arial"/>
      <family val="2"/>
    </font>
  </fonts>
  <fills count="2">
    <fill>
      <patternFill/>
    </fill>
    <fill>
      <patternFill patternType="gray125"/>
    </fill>
  </fills>
  <borders count="16">
    <border>
      <left/>
      <right/>
      <top/>
      <bottom/>
      <diagonal/>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02">
    <xf numFmtId="0" fontId="0" fillId="0" borderId="0" xfId="0" applyAlignment="1">
      <alignment/>
    </xf>
    <xf numFmtId="0" fontId="4" fillId="0" borderId="0" xfId="0" applyFont="1" applyAlignment="1">
      <alignment/>
    </xf>
    <xf numFmtId="0" fontId="2" fillId="0" borderId="0" xfId="0" applyFont="1" applyAlignment="1">
      <alignment horizontal="justify" vertical="center" wrapText="1"/>
    </xf>
    <xf numFmtId="0" fontId="4" fillId="0" borderId="0" xfId="0" applyFont="1" applyBorder="1" applyAlignment="1">
      <alignment/>
    </xf>
    <xf numFmtId="0" fontId="3" fillId="0" borderId="0" xfId="0" applyFont="1" applyAlignment="1">
      <alignment horizontal="justify" vertical="center" wrapText="1"/>
    </xf>
    <xf numFmtId="0" fontId="4" fillId="0" borderId="1" xfId="0" applyFont="1" applyBorder="1" applyAlignment="1">
      <alignment/>
    </xf>
    <xf numFmtId="0" fontId="4" fillId="0" borderId="2" xfId="0" applyFont="1" applyBorder="1" applyAlignment="1">
      <alignment/>
    </xf>
    <xf numFmtId="1" fontId="4" fillId="0" borderId="1" xfId="0" applyNumberFormat="1" applyFont="1" applyBorder="1" applyAlignment="1">
      <alignment/>
    </xf>
    <xf numFmtId="0" fontId="4" fillId="0" borderId="3" xfId="0" applyFont="1" applyBorder="1" applyAlignment="1">
      <alignment/>
    </xf>
    <xf numFmtId="0" fontId="2" fillId="0" borderId="0" xfId="0" applyFont="1" applyAlignment="1">
      <alignment/>
    </xf>
    <xf numFmtId="0" fontId="4" fillId="0" borderId="4" xfId="0" applyFont="1" applyBorder="1" applyAlignment="1">
      <alignment/>
    </xf>
    <xf numFmtId="0" fontId="2" fillId="0" borderId="0" xfId="0" applyFont="1" applyAlignment="1">
      <alignment horizontal="justify"/>
    </xf>
    <xf numFmtId="173" fontId="0" fillId="0" borderId="0" xfId="0" applyNumberFormat="1" applyAlignment="1">
      <alignment horizontal="center"/>
    </xf>
    <xf numFmtId="173" fontId="7" fillId="0" borderId="0" xfId="0" applyNumberFormat="1" applyFont="1" applyAlignment="1">
      <alignment/>
    </xf>
    <xf numFmtId="173" fontId="0" fillId="0" borderId="0" xfId="0" applyNumberFormat="1" applyAlignment="1">
      <alignment/>
    </xf>
    <xf numFmtId="173" fontId="8" fillId="0" borderId="0" xfId="0" applyNumberFormat="1" applyFont="1" applyAlignment="1">
      <alignment/>
    </xf>
    <xf numFmtId="0" fontId="5" fillId="0" borderId="0" xfId="0" applyFont="1" applyBorder="1" applyAlignment="1">
      <alignment wrapText="1"/>
    </xf>
    <xf numFmtId="0" fontId="5" fillId="0" borderId="2"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3" fontId="5" fillId="0" borderId="8" xfId="0" applyNumberFormat="1"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3" fontId="5" fillId="0" borderId="2" xfId="0" applyNumberFormat="1" applyFont="1" applyBorder="1" applyAlignment="1">
      <alignment horizontal="center" vertical="top" wrapText="1"/>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center" vertical="top"/>
    </xf>
    <xf numFmtId="3" fontId="5" fillId="0" borderId="0" xfId="0" applyNumberFormat="1" applyFont="1" applyBorder="1" applyAlignment="1">
      <alignment horizontal="center" vertical="top" wrapText="1"/>
    </xf>
    <xf numFmtId="0" fontId="5" fillId="0" borderId="0" xfId="0" applyFont="1" applyBorder="1" applyAlignment="1">
      <alignment horizontal="right" vertical="top" wrapText="1"/>
    </xf>
    <xf numFmtId="174" fontId="5" fillId="0" borderId="0" xfId="0" applyNumberFormat="1" applyFont="1" applyBorder="1" applyAlignment="1">
      <alignment horizontal="center" vertical="top" wrapText="1"/>
    </xf>
    <xf numFmtId="1" fontId="5" fillId="0" borderId="0" xfId="0" applyNumberFormat="1" applyFont="1" applyBorder="1" applyAlignment="1">
      <alignment horizontal="right" vertical="top" wrapText="1"/>
    </xf>
    <xf numFmtId="1" fontId="7" fillId="0" borderId="0" xfId="0" applyNumberFormat="1" applyFont="1"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horizontal="justify"/>
    </xf>
    <xf numFmtId="0" fontId="2" fillId="0" borderId="0" xfId="0" applyFont="1" applyAlignment="1">
      <alignment horizontal="left"/>
    </xf>
    <xf numFmtId="0" fontId="10" fillId="0" borderId="0" xfId="0" applyFont="1" applyAlignment="1">
      <alignment horizontal="center"/>
    </xf>
    <xf numFmtId="0" fontId="10" fillId="0" borderId="0" xfId="0" applyFont="1" applyAlignment="1">
      <alignment horizontal="left"/>
    </xf>
    <xf numFmtId="0" fontId="9" fillId="0" borderId="0" xfId="0" applyFont="1" applyAlignment="1">
      <alignment horizontal="left"/>
    </xf>
    <xf numFmtId="0" fontId="5" fillId="0" borderId="0" xfId="0" applyFont="1" applyBorder="1" applyAlignment="1">
      <alignment horizontal="center" vertical="top" wrapText="1"/>
    </xf>
    <xf numFmtId="0" fontId="5" fillId="0" borderId="13" xfId="0" applyFont="1" applyBorder="1" applyAlignment="1">
      <alignment horizontal="center" vertical="top" wrapText="1"/>
    </xf>
    <xf numFmtId="173" fontId="5" fillId="0" borderId="13" xfId="0" applyNumberFormat="1" applyFont="1" applyBorder="1" applyAlignment="1">
      <alignment horizontal="right" vertical="top" wrapText="1"/>
    </xf>
    <xf numFmtId="174" fontId="5" fillId="0" borderId="0" xfId="0" applyNumberFormat="1" applyFont="1" applyBorder="1" applyAlignment="1">
      <alignment horizontal="right" vertical="top" wrapText="1"/>
    </xf>
    <xf numFmtId="3" fontId="5" fillId="0" borderId="3" xfId="0" applyNumberFormat="1" applyFont="1" applyBorder="1" applyAlignment="1">
      <alignment horizontal="center" vertical="top" wrapText="1"/>
    </xf>
    <xf numFmtId="0" fontId="5" fillId="0" borderId="13" xfId="0" applyFont="1" applyBorder="1" applyAlignment="1">
      <alignment horizontal="right" vertical="top" wrapText="1"/>
    </xf>
    <xf numFmtId="173" fontId="5" fillId="0" borderId="0" xfId="0" applyNumberFormat="1" applyFont="1" applyBorder="1" applyAlignment="1">
      <alignment horizontal="right" vertical="top" wrapText="1"/>
    </xf>
    <xf numFmtId="0" fontId="4" fillId="0" borderId="0" xfId="0" applyFont="1" applyAlignment="1">
      <alignment horizontal="center" vertical="center"/>
    </xf>
    <xf numFmtId="3" fontId="4" fillId="0" borderId="4" xfId="0" applyNumberFormat="1" applyFont="1" applyBorder="1" applyAlignment="1">
      <alignment horizontal="center" vertical="center"/>
    </xf>
    <xf numFmtId="3" fontId="4" fillId="0" borderId="0" xfId="0" applyNumberFormat="1" applyFont="1" applyAlignment="1">
      <alignment horizontal="center" vertical="center"/>
    </xf>
    <xf numFmtId="1" fontId="4" fillId="0" borderId="0" xfId="0" applyNumberFormat="1" applyFont="1" applyBorder="1" applyAlignment="1">
      <alignment/>
    </xf>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justify" vertical="center" wrapText="1"/>
    </xf>
    <xf numFmtId="0" fontId="5" fillId="0" borderId="0" xfId="0" applyFont="1" applyAlignment="1">
      <alignment/>
    </xf>
    <xf numFmtId="0" fontId="5" fillId="0" borderId="0" xfId="0" applyFont="1" applyAlignment="1">
      <alignment horizontal="center"/>
    </xf>
    <xf numFmtId="0" fontId="33" fillId="0" borderId="0" xfId="0" applyFont="1" applyAlignment="1">
      <alignment horizontal="center"/>
    </xf>
    <xf numFmtId="0" fontId="33" fillId="0" borderId="0" xfId="0" applyFont="1" applyAlignment="1">
      <alignment/>
    </xf>
    <xf numFmtId="3" fontId="33" fillId="0" borderId="0" xfId="0" applyNumberFormat="1" applyFont="1" applyAlignment="1">
      <alignment/>
    </xf>
    <xf numFmtId="173" fontId="33" fillId="0" borderId="0" xfId="0" applyNumberFormat="1" applyFont="1" applyAlignment="1">
      <alignment/>
    </xf>
    <xf numFmtId="3" fontId="5" fillId="0" borderId="0" xfId="0" applyNumberFormat="1" applyFont="1" applyAlignment="1">
      <alignment/>
    </xf>
    <xf numFmtId="173" fontId="5" fillId="0" borderId="0" xfId="0" applyNumberFormat="1" applyFont="1" applyAlignment="1">
      <alignment/>
    </xf>
    <xf numFmtId="174" fontId="33" fillId="0" borderId="0" xfId="0" applyNumberFormat="1" applyFont="1" applyAlignment="1">
      <alignment/>
    </xf>
    <xf numFmtId="2" fontId="33" fillId="0" borderId="0" xfId="0" applyNumberFormat="1" applyFont="1" applyAlignment="1">
      <alignment/>
    </xf>
    <xf numFmtId="1" fontId="33" fillId="0" borderId="0" xfId="0" applyNumberFormat="1" applyFont="1" applyAlignment="1">
      <alignment/>
    </xf>
    <xf numFmtId="0" fontId="2" fillId="0" borderId="0" xfId="0" applyFont="1" applyAlignment="1">
      <alignment horizontal="center" wrapText="1"/>
    </xf>
    <xf numFmtId="0" fontId="2" fillId="0" borderId="0" xfId="0" applyFont="1" applyAlignment="1">
      <alignment wrapText="1"/>
    </xf>
    <xf numFmtId="0" fontId="34" fillId="0" borderId="0" xfId="0" applyFont="1" applyAlignment="1">
      <alignment horizontal="center" wrapText="1"/>
    </xf>
    <xf numFmtId="0" fontId="34" fillId="0" borderId="0" xfId="0" applyFont="1" applyAlignment="1">
      <alignment wrapText="1"/>
    </xf>
    <xf numFmtId="0" fontId="35" fillId="0" borderId="0" xfId="0" applyFont="1" applyAlignment="1">
      <alignment wrapText="1"/>
    </xf>
    <xf numFmtId="3" fontId="2" fillId="0" borderId="0" xfId="0" applyNumberFormat="1" applyFont="1" applyAlignment="1">
      <alignment/>
    </xf>
    <xf numFmtId="0" fontId="35" fillId="0" borderId="0" xfId="0" applyFont="1" applyAlignment="1">
      <alignment horizontal="center"/>
    </xf>
    <xf numFmtId="3" fontId="35" fillId="0" borderId="0" xfId="0" applyNumberFormat="1" applyFont="1" applyAlignment="1">
      <alignment/>
    </xf>
    <xf numFmtId="0" fontId="34" fillId="0" borderId="0" xfId="0" applyFont="1" applyAlignment="1">
      <alignment horizontal="center"/>
    </xf>
    <xf numFmtId="0" fontId="34" fillId="0" borderId="0" xfId="0" applyFont="1" applyAlignment="1">
      <alignment/>
    </xf>
    <xf numFmtId="0" fontId="36" fillId="0" borderId="0" xfId="0" applyFont="1" applyAlignment="1">
      <alignment horizontal="center"/>
    </xf>
    <xf numFmtId="0" fontId="36" fillId="0" borderId="0" xfId="0" applyFont="1" applyAlignment="1">
      <alignment/>
    </xf>
    <xf numFmtId="0" fontId="37" fillId="0" borderId="0" xfId="0" applyFont="1" applyAlignment="1">
      <alignment wrapText="1"/>
    </xf>
    <xf numFmtId="3" fontId="39" fillId="0" borderId="0" xfId="0" applyNumberFormat="1" applyFont="1" applyAlignment="1">
      <alignment horizontal="center" vertical="center"/>
    </xf>
    <xf numFmtId="3" fontId="2" fillId="0" borderId="0" xfId="0" applyNumberFormat="1" applyFont="1" applyAlignment="1">
      <alignment horizontal="center"/>
    </xf>
    <xf numFmtId="0" fontId="35" fillId="0" borderId="0" xfId="0" applyFont="1" applyAlignment="1">
      <alignment/>
    </xf>
    <xf numFmtId="0" fontId="36" fillId="0" borderId="0" xfId="0" applyFont="1" applyAlignment="1">
      <alignment vertical="center" wrapText="1"/>
    </xf>
    <xf numFmtId="0" fontId="36" fillId="0" borderId="0" xfId="0" applyFont="1" applyAlignment="1">
      <alignment vertical="center"/>
    </xf>
    <xf numFmtId="3" fontId="36" fillId="0" borderId="0" xfId="0" applyNumberFormat="1" applyFont="1" applyAlignment="1">
      <alignment vertical="center"/>
    </xf>
    <xf numFmtId="0" fontId="2" fillId="0" borderId="0" xfId="0" applyFont="1" applyAlignment="1">
      <alignment vertical="center"/>
    </xf>
    <xf numFmtId="3" fontId="36" fillId="0" borderId="0" xfId="0" applyNumberFormat="1" applyFont="1" applyAlignment="1">
      <alignment/>
    </xf>
    <xf numFmtId="3" fontId="35" fillId="0" borderId="0" xfId="0" applyNumberFormat="1" applyFont="1" applyAlignment="1" applyProtection="1">
      <alignment/>
      <protection hidden="1"/>
    </xf>
    <xf numFmtId="173" fontId="35" fillId="0" borderId="0" xfId="0" applyNumberFormat="1" applyFont="1" applyAlignment="1">
      <alignment horizontal="center"/>
    </xf>
    <xf numFmtId="173" fontId="35" fillId="0" borderId="0" xfId="0" applyNumberFormat="1" applyFont="1" applyAlignment="1">
      <alignment/>
    </xf>
    <xf numFmtId="173" fontId="2" fillId="0" borderId="0" xfId="0" applyNumberFormat="1" applyFont="1" applyAlignment="1">
      <alignment/>
    </xf>
    <xf numFmtId="1" fontId="35" fillId="0" borderId="0" xfId="0" applyNumberFormat="1" applyFont="1" applyAlignment="1">
      <alignment/>
    </xf>
    <xf numFmtId="173" fontId="5" fillId="0" borderId="3" xfId="0" applyNumberFormat="1" applyFont="1" applyBorder="1" applyAlignment="1">
      <alignment horizontal="right" vertical="top" wrapText="1"/>
    </xf>
    <xf numFmtId="0" fontId="5" fillId="0" borderId="0" xfId="0" applyFont="1" applyBorder="1" applyAlignment="1">
      <alignment horizontal="left" vertical="top" wrapText="1"/>
    </xf>
    <xf numFmtId="2" fontId="5" fillId="0" borderId="0" xfId="0" applyNumberFormat="1" applyFont="1" applyAlignment="1">
      <alignment horizontal="center"/>
    </xf>
    <xf numFmtId="4" fontId="33" fillId="0" borderId="0" xfId="0" applyNumberFormat="1" applyFont="1" applyAlignment="1">
      <alignment/>
    </xf>
    <xf numFmtId="4" fontId="5" fillId="0" borderId="0" xfId="0" applyNumberFormat="1" applyFont="1" applyAlignment="1">
      <alignment/>
    </xf>
    <xf numFmtId="180" fontId="5" fillId="0" borderId="0" xfId="0" applyNumberFormat="1" applyFont="1" applyAlignment="1">
      <alignment/>
    </xf>
    <xf numFmtId="174" fontId="5" fillId="0" borderId="0" xfId="0" applyNumberFormat="1" applyFont="1" applyAlignment="1">
      <alignment/>
    </xf>
    <xf numFmtId="4" fontId="34" fillId="0" borderId="0" xfId="0" applyNumberFormat="1" applyFont="1" applyAlignment="1">
      <alignment/>
    </xf>
    <xf numFmtId="4" fontId="2" fillId="0" borderId="0" xfId="0" applyNumberFormat="1" applyFont="1" applyAlignment="1">
      <alignment/>
    </xf>
    <xf numFmtId="4" fontId="35" fillId="0" borderId="0" xfId="0" applyNumberFormat="1" applyFont="1" applyAlignment="1">
      <alignment/>
    </xf>
    <xf numFmtId="4" fontId="34" fillId="0" borderId="0" xfId="0" applyNumberFormat="1" applyFont="1" applyAlignment="1">
      <alignment wrapText="1"/>
    </xf>
    <xf numFmtId="4" fontId="38" fillId="0" borderId="0" xfId="0" applyNumberFormat="1" applyFont="1" applyAlignment="1">
      <alignment horizontal="center" vertical="center"/>
    </xf>
    <xf numFmtId="4" fontId="35" fillId="0" borderId="0" xfId="0" applyNumberFormat="1" applyFont="1" applyAlignment="1" applyProtection="1">
      <alignment/>
      <protection hidden="1"/>
    </xf>
    <xf numFmtId="4" fontId="0" fillId="0" borderId="0" xfId="0" applyNumberFormat="1" applyAlignment="1">
      <alignment/>
    </xf>
    <xf numFmtId="3" fontId="5" fillId="0" borderId="0" xfId="0" applyNumberFormat="1" applyFont="1" applyAlignment="1">
      <alignment horizontal="center"/>
    </xf>
    <xf numFmtId="0" fontId="48" fillId="0" borderId="0" xfId="0" applyFont="1" applyAlignment="1">
      <alignment wrapText="1"/>
    </xf>
    <xf numFmtId="3" fontId="5" fillId="0" borderId="9" xfId="0" applyNumberFormat="1" applyFont="1" applyBorder="1" applyAlignment="1">
      <alignment horizontal="center" vertical="top" wrapText="1"/>
    </xf>
    <xf numFmtId="173" fontId="5" fillId="0" borderId="9" xfId="0" applyNumberFormat="1" applyFont="1" applyBorder="1" applyAlignment="1">
      <alignment horizontal="right" vertical="top" wrapText="1"/>
    </xf>
    <xf numFmtId="1" fontId="5" fillId="0" borderId="9" xfId="0" applyNumberFormat="1" applyFont="1" applyBorder="1" applyAlignment="1">
      <alignment horizontal="right" vertical="top" wrapText="1"/>
    </xf>
    <xf numFmtId="0" fontId="4" fillId="0" borderId="10" xfId="0" applyFont="1" applyBorder="1" applyAlignment="1">
      <alignment/>
    </xf>
    <xf numFmtId="0" fontId="4" fillId="0" borderId="12" xfId="0" applyFont="1" applyBorder="1" applyAlignment="1">
      <alignment/>
    </xf>
    <xf numFmtId="1" fontId="4" fillId="0" borderId="10" xfId="0" applyNumberFormat="1" applyFont="1" applyBorder="1" applyAlignment="1">
      <alignment/>
    </xf>
    <xf numFmtId="4" fontId="6" fillId="0" borderId="14" xfId="0" applyNumberFormat="1" applyFont="1" applyBorder="1" applyAlignment="1">
      <alignment/>
    </xf>
    <xf numFmtId="4" fontId="6" fillId="0" borderId="1" xfId="0" applyNumberFormat="1" applyFont="1" applyBorder="1" applyAlignment="1">
      <alignment/>
    </xf>
    <xf numFmtId="174" fontId="5" fillId="0" borderId="3" xfId="0" applyNumberFormat="1" applyFont="1" applyBorder="1" applyAlignment="1">
      <alignment horizontal="center" vertical="top"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31" fillId="0" borderId="0" xfId="0" applyFont="1" applyAlignment="1">
      <alignment horizontal="center" vertical="center" wrapText="1"/>
    </xf>
    <xf numFmtId="173" fontId="2" fillId="0" borderId="0" xfId="0" applyNumberFormat="1" applyFont="1" applyAlignment="1">
      <alignment horizontal="center" vertical="center"/>
    </xf>
    <xf numFmtId="49" fontId="4" fillId="0" borderId="2" xfId="0" applyNumberFormat="1" applyFont="1" applyBorder="1" applyAlignment="1">
      <alignment/>
    </xf>
    <xf numFmtId="3" fontId="5" fillId="0" borderId="3" xfId="0" applyNumberFormat="1" applyFont="1" applyFill="1" applyBorder="1" applyAlignment="1">
      <alignment horizontal="center" vertical="top" wrapText="1"/>
    </xf>
    <xf numFmtId="0" fontId="10" fillId="0" borderId="0" xfId="0" applyFont="1" applyAlignment="1">
      <alignment horizontal="center"/>
    </xf>
    <xf numFmtId="0" fontId="2" fillId="0" borderId="0" xfId="0" applyFont="1" applyAlignment="1">
      <alignment horizontal="center" vertical="center"/>
    </xf>
    <xf numFmtId="0" fontId="31" fillId="0" borderId="0" xfId="0" applyFont="1" applyAlignment="1">
      <alignment horizontal="center" vertical="center" wrapText="1"/>
    </xf>
    <xf numFmtId="49" fontId="2" fillId="0" borderId="4" xfId="0" applyNumberFormat="1" applyFont="1" applyBorder="1" applyAlignment="1">
      <alignment horizontal="center" vertical="center"/>
    </xf>
    <xf numFmtId="49" fontId="2" fillId="0" borderId="0" xfId="0" applyNumberFormat="1" applyFont="1" applyAlignment="1">
      <alignment horizontal="center" vertical="center"/>
    </xf>
    <xf numFmtId="9" fontId="2" fillId="0" borderId="0" xfId="0" applyNumberFormat="1" applyFont="1" applyAlignment="1">
      <alignment horizontal="center" vertical="center"/>
    </xf>
    <xf numFmtId="0" fontId="3" fillId="0" borderId="0" xfId="0" applyFont="1" applyAlignment="1">
      <alignment horizontal="center" vertical="center" wrapText="1"/>
    </xf>
    <xf numFmtId="0" fontId="40" fillId="0" borderId="0" xfId="0" applyFont="1" applyAlignment="1">
      <alignment horizontal="center"/>
    </xf>
    <xf numFmtId="0" fontId="32" fillId="0" borderId="0" xfId="0" applyFont="1" applyAlignment="1">
      <alignment horizontal="center" vertical="center" wrapText="1"/>
    </xf>
    <xf numFmtId="0" fontId="2" fillId="0" borderId="0" xfId="0" applyFont="1" applyAlignment="1">
      <alignment horizontal="justify" vertical="center" wrapText="1"/>
    </xf>
    <xf numFmtId="0" fontId="2" fillId="0" borderId="0" xfId="0" applyFont="1" applyFill="1" applyAlignment="1">
      <alignment horizontal="justify" vertical="center" wrapText="1"/>
    </xf>
    <xf numFmtId="0" fontId="2" fillId="0" borderId="0" xfId="0" applyFont="1" applyAlignment="1">
      <alignment horizontal="justify" vertical="center"/>
    </xf>
    <xf numFmtId="0" fontId="5" fillId="0" borderId="0" xfId="0" applyFont="1" applyAlignment="1">
      <alignment horizontal="justify" vertical="center" wrapText="1"/>
    </xf>
    <xf numFmtId="0" fontId="2" fillId="0" borderId="0" xfId="0" applyFont="1" applyAlignment="1">
      <alignment horizontal="center"/>
    </xf>
    <xf numFmtId="0" fontId="3" fillId="0" borderId="0" xfId="0" applyFont="1" applyAlignment="1">
      <alignment horizontal="left" vertical="center" wrapText="1"/>
    </xf>
    <xf numFmtId="0" fontId="5" fillId="0" borderId="0" xfId="0" applyFont="1" applyAlignment="1">
      <alignment horizontal="center"/>
    </xf>
    <xf numFmtId="0" fontId="2" fillId="0" borderId="0" xfId="0" applyFont="1" applyAlignment="1">
      <alignment horizontal="center" wrapText="1"/>
    </xf>
    <xf numFmtId="2"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4" xfId="0" applyFont="1" applyBorder="1" applyAlignment="1">
      <alignment horizontal="center"/>
    </xf>
    <xf numFmtId="4" fontId="2" fillId="0" borderId="4" xfId="0" applyNumberFormat="1" applyFont="1" applyBorder="1" applyAlignment="1">
      <alignment horizontal="center"/>
    </xf>
    <xf numFmtId="3" fontId="5" fillId="0" borderId="0" xfId="0" applyNumberFormat="1" applyFont="1" applyBorder="1" applyAlignment="1">
      <alignment horizontal="center" vertical="center"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0" xfId="0" applyFont="1" applyBorder="1" applyAlignment="1">
      <alignment horizontal="center" vertical="top" wrapText="1"/>
    </xf>
    <xf numFmtId="0" fontId="5" fillId="0" borderId="10" xfId="0" applyFont="1" applyBorder="1" applyAlignment="1">
      <alignment horizontal="left" vertical="top" wrapText="1"/>
    </xf>
    <xf numFmtId="0" fontId="0" fillId="0" borderId="11" xfId="0" applyBorder="1" applyAlignment="1">
      <alignment/>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left" vertical="top" wrapText="1"/>
    </xf>
    <xf numFmtId="0" fontId="1" fillId="0" borderId="0" xfId="0" applyFont="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2" fillId="0" borderId="0" xfId="0" applyFont="1" applyAlignment="1">
      <alignment horizontal="justify" vertical="top" wrapText="1"/>
    </xf>
    <xf numFmtId="0" fontId="4" fillId="0" borderId="0" xfId="0" applyFont="1" applyAlignment="1">
      <alignment horizontal="justify"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3"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5"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3" fontId="6" fillId="0" borderId="0"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1" fontId="2" fillId="0" borderId="10" xfId="0" applyNumberFormat="1"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173" fontId="2" fillId="0" borderId="0" xfId="0" applyNumberFormat="1" applyFont="1" applyAlignment="1">
      <alignment horizontal="center" vertical="center"/>
    </xf>
    <xf numFmtId="0" fontId="2" fillId="0" borderId="1" xfId="0" applyFont="1" applyBorder="1" applyAlignment="1">
      <alignment horizontal="left"/>
    </xf>
    <xf numFmtId="0" fontId="2" fillId="0" borderId="13" xfId="0" applyFont="1" applyBorder="1" applyAlignment="1">
      <alignment horizontal="left"/>
    </xf>
    <xf numFmtId="0" fontId="2" fillId="0" borderId="2" xfId="0" applyFont="1" applyBorder="1" applyAlignment="1">
      <alignment horizontal="left"/>
    </xf>
    <xf numFmtId="1" fontId="4" fillId="0" borderId="10" xfId="0" applyNumberFormat="1" applyFont="1" applyFill="1" applyBorder="1" applyAlignment="1">
      <alignment horizontal="center"/>
    </xf>
    <xf numFmtId="1" fontId="4" fillId="0" borderId="12"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12" xfId="0" applyNumberFormat="1" applyFont="1" applyFill="1" applyBorder="1" applyAlignment="1">
      <alignment horizontal="center"/>
    </xf>
    <xf numFmtId="0" fontId="4" fillId="0" borderId="0" xfId="0" applyFont="1" applyAlignment="1">
      <alignment horizontal="justify" vertical="center"/>
    </xf>
    <xf numFmtId="0" fontId="4" fillId="0" borderId="0" xfId="0" applyFont="1" applyAlignment="1">
      <alignment horizontal="justify"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1" u="none" baseline="0">
                <a:latin typeface="Arial"/>
                <a:ea typeface="Arial"/>
                <a:cs typeface="Arial"/>
              </a:rPr>
              <a:t>VALORE AGGIUNTO NETTO</a:t>
            </a:r>
          </a:p>
        </c:rich>
      </c:tx>
      <c:layout/>
      <c:spPr>
        <a:noFill/>
        <a:ln>
          <a:noFill/>
        </a:ln>
      </c:spPr>
    </c:title>
    <c:plotArea>
      <c:layout>
        <c:manualLayout>
          <c:xMode val="edge"/>
          <c:yMode val="edge"/>
          <c:x val="0.0045"/>
          <c:y val="0.13825"/>
          <c:w val="0.961"/>
          <c:h val="0.773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00"/>
              </a:solidFill>
            </c:spPr>
          </c:dPt>
          <c:dPt>
            <c:idx val="1"/>
            <c:invertIfNegative val="0"/>
            <c:spPr>
              <a:solidFill>
                <a:srgbClr val="FF0000"/>
              </a:solidFill>
            </c:spPr>
          </c:dPt>
          <c:dLbls>
            <c:numFmt formatCode="General" sourceLinked="1"/>
            <c:showLegendKey val="0"/>
            <c:showVal val="1"/>
            <c:showBubbleSize val="0"/>
            <c:showCatName val="0"/>
            <c:showSerName val="0"/>
            <c:showPercent val="0"/>
          </c:dLbls>
          <c:cat>
            <c:strRef>
              <c:f>('val e van'!$C$5,'val e van'!$F$5)</c:f>
              <c:strCache/>
            </c:strRef>
          </c:cat>
          <c:val>
            <c:numRef>
              <c:f>('val e van'!$D$26,'val e van'!$F$26)</c:f>
              <c:numCache/>
            </c:numRef>
          </c:val>
        </c:ser>
        <c:axId val="13623949"/>
        <c:axId val="55506678"/>
      </c:barChart>
      <c:catAx>
        <c:axId val="13623949"/>
        <c:scaling>
          <c:orientation val="minMax"/>
        </c:scaling>
        <c:axPos val="b"/>
        <c:delete val="0"/>
        <c:numFmt formatCode="General" sourceLinked="1"/>
        <c:majorTickMark val="out"/>
        <c:minorTickMark val="none"/>
        <c:tickLblPos val="nextTo"/>
        <c:crossAx val="55506678"/>
        <c:crosses val="autoZero"/>
        <c:auto val="1"/>
        <c:lblOffset val="100"/>
        <c:noMultiLvlLbl val="0"/>
      </c:catAx>
      <c:valAx>
        <c:axId val="55506678"/>
        <c:scaling>
          <c:orientation val="minMax"/>
        </c:scaling>
        <c:axPos val="l"/>
        <c:delete val="0"/>
        <c:numFmt formatCode="General" sourceLinked="1"/>
        <c:majorTickMark val="out"/>
        <c:minorTickMark val="none"/>
        <c:tickLblPos val="nextTo"/>
        <c:crossAx val="1362394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latin typeface="Arial"/>
                <a:ea typeface="Arial"/>
                <a:cs typeface="Arial"/>
              </a:rPr>
              <a:t>Distribuzione della ricchezza</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4"/>
            <c:spPr>
              <a:solidFill>
                <a:srgbClr val="FFFF00"/>
              </a:solidFill>
            </c:spPr>
          </c:dPt>
          <c:dPt>
            <c:idx val="7"/>
            <c:spPr>
              <a:solidFill>
                <a:srgbClr val="FF0000"/>
              </a:solidFill>
            </c:spPr>
          </c:dPt>
          <c:dLbls>
            <c:dLbl>
              <c:idx val="0"/>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rtl="1">
                      <a:defRPr/>
                    </a:pPr>
                    <a:r>
                      <a:rPr lang="en-US" cap="none" sz="1000" b="0" i="0" u="none" baseline="0">
                        <a:latin typeface="Arial"/>
                        <a:ea typeface="Arial"/>
                        <a:cs typeface="Arial"/>
                      </a:rPr>
                      <a:t>impresa sociale;
 -2,5</a:t>
                    </a:r>
                  </a:p>
                </c:rich>
              </c:tx>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10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1000" b="0" i="0" u="none" baseline="0">
                    <a:latin typeface="Arial"/>
                    <a:ea typeface="Arial"/>
                    <a:cs typeface="Arial"/>
                  </a:defRPr>
                </a:pPr>
              </a:p>
            </c:txPr>
            <c:showLegendKey val="0"/>
            <c:showVal val="1"/>
            <c:showBubbleSize val="0"/>
            <c:showCatName val="0"/>
            <c:showSerName val="0"/>
            <c:showLeaderLines val="1"/>
            <c:showPercent val="0"/>
          </c:dLbls>
          <c:cat>
            <c:strRef>
              <c:f>(stakeholder!$A$8,stakeholder!$A$14,stakeholder!$A$17,stakeholder!$A$19,stakeholder!$A$21,stakeholder!$A$35,stakeholder!$A$51,stakeholder!$A$54)</c:f>
              <c:strCache/>
            </c:strRef>
          </c:cat>
          <c:val>
            <c:numRef>
              <c:f>(stakeholder!$E$8,stakeholder!$E$14,stakeholder!$E$17,stakeholder!$E$19,stakeholder!$E$21,stakeholder!$E$35,stakeholder!$E$51,stakeholder!$E$54)</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4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Composizione forza lavoro - Anno 2002</a:t>
            </a:r>
          </a:p>
        </c:rich>
      </c:tx>
      <c:layout>
        <c:manualLayout>
          <c:xMode val="factor"/>
          <c:yMode val="factor"/>
          <c:x val="0"/>
          <c:y val="0"/>
        </c:manualLayout>
      </c:layout>
      <c:spPr>
        <a:noFill/>
        <a:ln>
          <a:noFill/>
        </a:ln>
      </c:spPr>
    </c:title>
    <c:view3D>
      <c:rotX val="15"/>
      <c:hPercent val="100"/>
      <c:rotY val="0"/>
      <c:depthPercent val="100"/>
      <c:rAngAx val="1"/>
    </c:view3D>
    <c:plotArea>
      <c:layout>
        <c:manualLayout>
          <c:xMode val="edge"/>
          <c:yMode val="edge"/>
          <c:x val="0.19025"/>
          <c:y val="0.5"/>
          <c:w val="0.63675"/>
          <c:h val="0.17"/>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FFFF00"/>
              </a:solidFill>
            </c:spPr>
          </c:dPt>
          <c:dLbls>
            <c:dLbl>
              <c:idx val="0"/>
              <c:layout>
                <c:manualLayout>
                  <c:x val="0"/>
                  <c:y val="0"/>
                </c:manualLayout>
              </c:layout>
              <c:txPr>
                <a:bodyPr vert="horz" rot="0" anchor="ctr"/>
                <a:lstStyle/>
                <a:p>
                  <a:pPr algn="ctr" rtl="1">
                    <a:defRPr lang="en-US" cap="none" sz="65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65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650" b="0" i="0" u="none" baseline="0">
                    <a:latin typeface="Arial"/>
                    <a:ea typeface="Arial"/>
                    <a:cs typeface="Arial"/>
                  </a:defRPr>
                </a:pPr>
              </a:p>
            </c:txPr>
            <c:showLegendKey val="0"/>
            <c:showVal val="0"/>
            <c:showBubbleSize val="0"/>
            <c:showCatName val="1"/>
            <c:showSerName val="0"/>
            <c:showLeaderLines val="1"/>
            <c:showPercent val="1"/>
          </c:dLbls>
          <c:cat>
            <c:strRef>
              <c:f>(indicatori!$A$75,indicatori!$A$76)</c:f>
              <c:strCache/>
            </c:strRef>
          </c:cat>
          <c:val>
            <c:numRef>
              <c:f>(indicatori!$G$75,indicatori!$G$76)</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Ore dedicate alla produzione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20986871"/>
        <c:axId val="54664112"/>
      </c:barChart>
      <c:catAx>
        <c:axId val="20986871"/>
        <c:scaling>
          <c:orientation val="minMax"/>
        </c:scaling>
        <c:axPos val="b"/>
        <c:delete val="1"/>
        <c:majorTickMark val="out"/>
        <c:minorTickMark val="none"/>
        <c:tickLblPos val="nextTo"/>
        <c:crossAx val="54664112"/>
        <c:crosses val="autoZero"/>
        <c:auto val="1"/>
        <c:lblOffset val="100"/>
        <c:noMultiLvlLbl val="0"/>
      </c:catAx>
      <c:valAx>
        <c:axId val="54664112"/>
        <c:scaling>
          <c:orientation val="minMax"/>
        </c:scaling>
        <c:axPos val="l"/>
        <c:delete val="0"/>
        <c:numFmt formatCode="General" sourceLinked="1"/>
        <c:majorTickMark val="out"/>
        <c:minorTickMark val="none"/>
        <c:tickLblPos val="nextTo"/>
        <c:crossAx val="2098687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Ore dedicate alla qualificazione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00"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22214961"/>
        <c:axId val="65716922"/>
      </c:barChart>
      <c:catAx>
        <c:axId val="22214961"/>
        <c:scaling>
          <c:orientation val="minMax"/>
        </c:scaling>
        <c:axPos val="b"/>
        <c:delete val="1"/>
        <c:majorTickMark val="out"/>
        <c:minorTickMark val="none"/>
        <c:tickLblPos val="nextTo"/>
        <c:crossAx val="65716922"/>
        <c:crosses val="autoZero"/>
        <c:auto val="1"/>
        <c:lblOffset val="100"/>
        <c:noMultiLvlLbl val="0"/>
      </c:catAx>
      <c:valAx>
        <c:axId val="65716922"/>
        <c:scaling>
          <c:orientation val="minMax"/>
        </c:scaling>
        <c:axPos val="l"/>
        <c:delete val="0"/>
        <c:numFmt formatCode="General" sourceLinked="1"/>
        <c:majorTickMark val="out"/>
        <c:minorTickMark val="none"/>
        <c:tickLblPos val="nextTo"/>
        <c:crossAx val="2221496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Anno 2001</a:t>
            </a:r>
          </a:p>
        </c:rich>
      </c:tx>
      <c:layout/>
      <c:spPr>
        <a:noFill/>
        <a:ln>
          <a:noFill/>
        </a:ln>
      </c:spPr>
    </c:title>
    <c:view3D>
      <c:rotX val="15"/>
      <c:hPercent val="100"/>
      <c:rotY val="0"/>
      <c:depthPercent val="100"/>
      <c:rAngAx val="1"/>
    </c:view3D>
    <c:plotArea>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explosion val="199"/>
            <c:spPr>
              <a:solidFill>
                <a:srgbClr val="FF0000"/>
              </a:solidFill>
            </c:spPr>
          </c:dPt>
          <c:dLbls>
            <c:dLbl>
              <c:idx val="0"/>
              <c:layout>
                <c:manualLayout>
                  <c:x val="0"/>
                  <c:y val="0"/>
                </c:manualLayout>
              </c:layout>
              <c:tx>
                <c:rich>
                  <a:bodyPr vert="horz" rot="0" anchor="ctr"/>
                  <a:lstStyle/>
                  <a:p>
                    <a:pPr algn="ctr" rtl="1">
                      <a:defRPr/>
                    </a:pPr>
                    <a:r>
                      <a:rPr lang="en-US" cap="none" sz="275" b="0" i="0" u="none" baseline="0">
                        <a:latin typeface="Arial"/>
                        <a:ea typeface="Arial"/>
                        <a:cs typeface="Arial"/>
                      </a:rPr>
                      <a:t>dedicate alla produzione 99,7</a:t>
                    </a:r>
                  </a:p>
                </c:rich>
              </c:tx>
              <c:numFmt formatCode="General" sourceLinked="1"/>
              <c:showLegendKey val="0"/>
              <c:showVal val="0"/>
              <c:showBubbleSize val="0"/>
              <c:showCatName val="0"/>
              <c:showSerName val="0"/>
              <c:showPercent val="1"/>
            </c:dLbl>
            <c:dLbl>
              <c:idx val="1"/>
              <c:layout>
                <c:manualLayout>
                  <c:x val="0"/>
                  <c:y val="0"/>
                </c:manualLayout>
              </c:layout>
              <c:tx>
                <c:rich>
                  <a:bodyPr vert="horz" rot="0" anchor="ctr"/>
                  <a:lstStyle/>
                  <a:p>
                    <a:pPr algn="ctr" rtl="1">
                      <a:defRPr/>
                    </a:pPr>
                    <a:r>
                      <a:rPr lang="en-US" cap="none" sz="275" b="0" i="0" u="none" baseline="0">
                        <a:latin typeface="Arial"/>
                        <a:ea typeface="Arial"/>
                        <a:cs typeface="Arial"/>
                      </a:rPr>
                      <a:t>dedicate alla qualificazione   0,3%</a:t>
                    </a:r>
                  </a:p>
                </c:rich>
              </c:tx>
              <c:numFmt formatCode="General" sourceLinked="1"/>
              <c:showLegendKey val="0"/>
              <c:showVal val="0"/>
              <c:showBubbleSize val="0"/>
              <c:showCatName val="0"/>
              <c:showSerName val="0"/>
              <c:showPercent val="1"/>
            </c:dLbl>
            <c:numFmt formatCode="0.0" sourceLinked="0"/>
            <c:showLegendKey val="0"/>
            <c:showVal val="0"/>
            <c:showBubbleSize val="0"/>
            <c:showCatName val="0"/>
            <c:showSerName val="0"/>
            <c:showLeaderLines val="1"/>
            <c:showPercent val="1"/>
          </c:dLbls>
          <c:cat>
            <c:strRef>
              <c:f>(indicatori!#REF!,indicatori!#REF!)</c:f>
              <c:strCache>
                <c:ptCount val="1"/>
                <c:pt idx="0">
                  <c:v>1</c:v>
                </c:pt>
              </c:strCache>
            </c:strRef>
          </c:cat>
          <c:val>
            <c:numRef>
              <c:f>(indicatori!#REF!,indicatori!#REF!)</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Dedicate alla "riunione"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Lbls>
            <c:dLbl>
              <c:idx val="0"/>
              <c:txPr>
                <a:bodyPr vert="horz" rot="0" anchor="ctr"/>
                <a:lstStyle/>
                <a:p>
                  <a:pPr algn="ctr">
                    <a:defRPr lang="en-US" cap="none" sz="3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54581387"/>
        <c:axId val="21470436"/>
      </c:barChart>
      <c:catAx>
        <c:axId val="54581387"/>
        <c:scaling>
          <c:orientation val="minMax"/>
        </c:scaling>
        <c:axPos val="b"/>
        <c:delete val="1"/>
        <c:majorTickMark val="out"/>
        <c:minorTickMark val="none"/>
        <c:tickLblPos val="nextTo"/>
        <c:crossAx val="21470436"/>
        <c:crosses val="autoZero"/>
        <c:auto val="1"/>
        <c:lblOffset val="100"/>
        <c:noMultiLvlLbl val="0"/>
      </c:catAx>
      <c:valAx>
        <c:axId val="21470436"/>
        <c:scaling>
          <c:orientation val="minMax"/>
        </c:scaling>
        <c:axPos val="l"/>
        <c:delete val="0"/>
        <c:numFmt formatCode="General" sourceLinked="1"/>
        <c:majorTickMark val="out"/>
        <c:minorTickMark val="none"/>
        <c:tickLblPos val="nextTo"/>
        <c:crossAx val="54581387"/>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Dedicate alla produzione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59016197"/>
        <c:axId val="61383726"/>
      </c:barChart>
      <c:catAx>
        <c:axId val="59016197"/>
        <c:scaling>
          <c:orientation val="minMax"/>
        </c:scaling>
        <c:axPos val="b"/>
        <c:delete val="1"/>
        <c:majorTickMark val="out"/>
        <c:minorTickMark val="none"/>
        <c:tickLblPos val="nextTo"/>
        <c:crossAx val="61383726"/>
        <c:crosses val="autoZero"/>
        <c:auto val="1"/>
        <c:lblOffset val="100"/>
        <c:noMultiLvlLbl val="0"/>
      </c:catAx>
      <c:valAx>
        <c:axId val="61383726"/>
        <c:scaling>
          <c:orientation val="minMax"/>
        </c:scaling>
        <c:axPos val="l"/>
        <c:delete val="0"/>
        <c:numFmt formatCode="General" sourceLinked="1"/>
        <c:majorTickMark val="out"/>
        <c:minorTickMark val="none"/>
        <c:tickLblPos val="nextTo"/>
        <c:crossAx val="59016197"/>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Anno 2001</a:t>
            </a:r>
          </a:p>
        </c:rich>
      </c:tx>
      <c:layout/>
      <c:spPr>
        <a:noFill/>
        <a:ln>
          <a:noFill/>
        </a:ln>
      </c:spPr>
    </c:title>
    <c:view3D>
      <c:rotX val="15"/>
      <c:hPercent val="100"/>
      <c:rotY val="0"/>
      <c:depthPercent val="100"/>
      <c:rAngAx val="1"/>
    </c:view3D>
    <c:plotArea>
      <c:layout/>
      <c:pie3DChart>
        <c:varyColors val="1"/>
        <c:ser>
          <c:idx val="0"/>
          <c:order val="0"/>
          <c:explosion val="48"/>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explosion val="141"/>
            <c:spPr>
              <a:solidFill>
                <a:srgbClr val="FF0000"/>
              </a:solidFill>
            </c:spPr>
          </c:dPt>
          <c:dLbls>
            <c:dLbl>
              <c:idx val="0"/>
              <c:layout>
                <c:manualLayout>
                  <c:x val="0"/>
                  <c:y val="0"/>
                </c:manualLayout>
              </c:layout>
              <c:txPr>
                <a:bodyPr vert="horz" rot="0" anchor="ctr"/>
                <a:lstStyle/>
                <a:p>
                  <a:pPr algn="ctr" rtl="1">
                    <a:defRPr lang="en-US" cap="none" sz="3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30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rtl="1">
                  <a:defRPr lang="en-US" cap="none" sz="300" b="0" i="0" u="none" baseline="0">
                    <a:latin typeface="Arial"/>
                    <a:ea typeface="Arial"/>
                    <a:cs typeface="Arial"/>
                  </a:defRPr>
                </a:pPr>
              </a:p>
            </c:txPr>
            <c:showLegendKey val="0"/>
            <c:showVal val="0"/>
            <c:showBubbleSize val="0"/>
            <c:showCatName val="1"/>
            <c:showSerName val="0"/>
            <c:showLeaderLines val="1"/>
            <c:showPercent val="1"/>
          </c:dLbls>
          <c:cat>
            <c:strRef>
              <c:f>(indicatori!#REF!,indicatori!#REF!)</c:f>
              <c:strCache>
                <c:ptCount val="1"/>
                <c:pt idx="0">
                  <c:v>1</c:v>
                </c:pt>
              </c:strCache>
            </c:strRef>
          </c:cat>
          <c:val>
            <c:numRef>
              <c:f>(indicatori!#REF!,indicatori!#REF!)</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Ore lavorate da persone svantaggiate assunte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Lbls>
            <c:dLbl>
              <c:idx val="0"/>
              <c:txPr>
                <a:bodyPr vert="horz" rot="0" anchor="ctr"/>
                <a:lstStyle/>
                <a:p>
                  <a:pPr algn="ctr">
                    <a:defRPr lang="en-US" cap="none" sz="325" b="0"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15582623"/>
        <c:axId val="6025880"/>
      </c:barChart>
      <c:catAx>
        <c:axId val="15582623"/>
        <c:scaling>
          <c:orientation val="minMax"/>
        </c:scaling>
        <c:axPos val="b"/>
        <c:delete val="1"/>
        <c:majorTickMark val="out"/>
        <c:minorTickMark val="none"/>
        <c:tickLblPos val="nextTo"/>
        <c:crossAx val="6025880"/>
        <c:crosses val="autoZero"/>
        <c:auto val="1"/>
        <c:lblOffset val="100"/>
        <c:noMultiLvlLbl val="0"/>
      </c:catAx>
      <c:valAx>
        <c:axId val="6025880"/>
        <c:scaling>
          <c:orientation val="minMax"/>
        </c:scaling>
        <c:axPos val="l"/>
        <c:delete val="0"/>
        <c:numFmt formatCode="General" sourceLinked="1"/>
        <c:majorTickMark val="out"/>
        <c:minorTickMark val="none"/>
        <c:tickLblPos val="nextTo"/>
        <c:crossAx val="1558262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Ore lavorate da persone normodotate assunte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54232921"/>
        <c:axId val="18334242"/>
      </c:barChart>
      <c:catAx>
        <c:axId val="54232921"/>
        <c:scaling>
          <c:orientation val="minMax"/>
        </c:scaling>
        <c:axPos val="b"/>
        <c:delete val="1"/>
        <c:majorTickMark val="out"/>
        <c:minorTickMark val="none"/>
        <c:tickLblPos val="nextTo"/>
        <c:crossAx val="18334242"/>
        <c:crosses val="autoZero"/>
        <c:auto val="1"/>
        <c:lblOffset val="100"/>
        <c:noMultiLvlLbl val="0"/>
      </c:catAx>
      <c:valAx>
        <c:axId val="18334242"/>
        <c:scaling>
          <c:orientation val="minMax"/>
        </c:scaling>
        <c:axPos val="l"/>
        <c:delete val="0"/>
        <c:numFmt formatCode="General" sourceLinked="1"/>
        <c:majorTickMark val="out"/>
        <c:minorTickMark val="none"/>
        <c:tickLblPos val="nextTo"/>
        <c:crossAx val="5423292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 enti e amministrazioni statali</a:t>
            </a:r>
          </a:p>
        </c:rich>
      </c:tx>
      <c:layout/>
      <c:spPr>
        <a:noFill/>
        <a:ln>
          <a:noFill/>
        </a:ln>
      </c:spPr>
    </c:title>
    <c:plotArea>
      <c:layout>
        <c:manualLayout>
          <c:xMode val="edge"/>
          <c:yMode val="edge"/>
          <c:x val="0.04325"/>
          <c:y val="0.297"/>
          <c:w val="0.92875"/>
          <c:h val="0.672"/>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(stakeholder!$C$8,stakeholder!$E$8)</c:f>
              <c:numCache/>
            </c:numRef>
          </c:val>
        </c:ser>
        <c:axId val="29798055"/>
        <c:axId val="66855904"/>
      </c:barChart>
      <c:catAx>
        <c:axId val="29798055"/>
        <c:scaling>
          <c:orientation val="minMax"/>
        </c:scaling>
        <c:axPos val="b"/>
        <c:delete val="0"/>
        <c:numFmt formatCode="General" sourceLinked="1"/>
        <c:majorTickMark val="out"/>
        <c:minorTickMark val="none"/>
        <c:tickLblPos val="nextTo"/>
        <c:crossAx val="66855904"/>
        <c:crosses val="autoZero"/>
        <c:auto val="1"/>
        <c:lblOffset val="100"/>
        <c:noMultiLvlLbl val="0"/>
      </c:catAx>
      <c:valAx>
        <c:axId val="66855904"/>
        <c:scaling>
          <c:orientation val="minMax"/>
        </c:scaling>
        <c:axPos val="l"/>
        <c:delete val="0"/>
        <c:numFmt formatCode="General" sourceLinked="1"/>
        <c:majorTickMark val="out"/>
        <c:minorTickMark val="none"/>
        <c:tickLblPos val="nextTo"/>
        <c:crossAx val="2979805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Anno 2001</a:t>
            </a:r>
          </a:p>
        </c:rich>
      </c:tx>
      <c:layout/>
      <c:spPr>
        <a:noFill/>
        <a:ln>
          <a:noFill/>
        </a:ln>
      </c:spPr>
    </c:title>
    <c:view3D>
      <c:rotX val="15"/>
      <c:hPercent val="100"/>
      <c:rotY val="0"/>
      <c:depthPercent val="100"/>
      <c:rAngAx val="1"/>
    </c:view3D>
    <c:plotArea>
      <c:layout/>
      <c:pie3DChart>
        <c:varyColors val="1"/>
        <c:ser>
          <c:idx val="0"/>
          <c:order val="0"/>
          <c:explosion val="99"/>
          <c:extLst>
            <c:ext xmlns:c14="http://schemas.microsoft.com/office/drawing/2007/8/2/chart" uri="{6F2FDCE9-48DA-4B69-8628-5D25D57E5C99}">
              <c14:invertSolidFillFmt>
                <c14:spPr>
                  <a:solidFill>
                    <a:srgbClr val="000000"/>
                  </a:solidFill>
                </c14:spPr>
              </c14:invertSolidFillFmt>
            </c:ext>
          </c:extLst>
          <c:dPt>
            <c:idx val="0"/>
            <c:explosion val="45"/>
            <c:spPr>
              <a:solidFill>
                <a:srgbClr val="00FF00"/>
              </a:solidFill>
            </c:spPr>
          </c:dPt>
          <c:dPt>
            <c:idx val="1"/>
            <c:explosion val="23"/>
            <c:spPr>
              <a:solidFill>
                <a:srgbClr val="FF0000"/>
              </a:solidFill>
            </c:spPr>
          </c:dPt>
          <c:dLbls>
            <c:dLbl>
              <c:idx val="0"/>
              <c:layout>
                <c:manualLayout>
                  <c:x val="0"/>
                  <c:y val="0"/>
                </c:manualLayout>
              </c:layout>
              <c:tx>
                <c:rich>
                  <a:bodyPr vert="horz" rot="0" anchor="ctr"/>
                  <a:lstStyle/>
                  <a:p>
                    <a:pPr algn="ctr" rtl="1">
                      <a:defRPr/>
                    </a:pPr>
                    <a:r>
                      <a:rPr lang="en-US" cap="none" sz="300" b="0" i="0" u="none" baseline="0">
                        <a:latin typeface="Arial"/>
                        <a:ea typeface="Arial"/>
                        <a:cs typeface="Arial"/>
                      </a:rPr>
                      <a:t>ore lavorate da persone svantaggiate assunte
45,6%</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300" b="0" i="0" u="none" baseline="0">
                        <a:latin typeface="Arial"/>
                        <a:ea typeface="Arial"/>
                        <a:cs typeface="Arial"/>
                      </a:rPr>
                      <a:t>ore lavorate da persone normodotate assunte
54,4%</a:t>
                    </a:r>
                  </a:p>
                </c:rich>
              </c:tx>
              <c:numFmt formatCode="General" sourceLinked="1"/>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300" b="0" i="0" u="none" baseline="0">
                    <a:latin typeface="Arial"/>
                    <a:ea typeface="Arial"/>
                    <a:cs typeface="Arial"/>
                  </a:defRPr>
                </a:pPr>
              </a:p>
            </c:txPr>
            <c:showLegendKey val="0"/>
            <c:showVal val="0"/>
            <c:showBubbleSize val="0"/>
            <c:showCatName val="1"/>
            <c:showSerName val="0"/>
            <c:showLeaderLines val="1"/>
            <c:showPercent val="1"/>
          </c:dLbls>
          <c:cat>
            <c:strRef>
              <c:f>(indicatori!#REF!,indicatori!#REF!)</c:f>
              <c:strCache>
                <c:ptCount val="1"/>
                <c:pt idx="0">
                  <c:v>1</c:v>
                </c:pt>
              </c:strCache>
            </c:strRef>
          </c:cat>
          <c:val>
            <c:numRef>
              <c:f>(indicatori!#REF!,indicatori!#REF!)</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27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Ore complessive lavorate da persone svantaggiate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30790451"/>
        <c:axId val="8678604"/>
      </c:barChart>
      <c:catAx>
        <c:axId val="30790451"/>
        <c:scaling>
          <c:orientation val="minMax"/>
        </c:scaling>
        <c:axPos val="b"/>
        <c:delete val="1"/>
        <c:majorTickMark val="out"/>
        <c:minorTickMark val="none"/>
        <c:tickLblPos val="nextTo"/>
        <c:crossAx val="8678604"/>
        <c:crosses val="autoZero"/>
        <c:auto val="1"/>
        <c:lblOffset val="100"/>
        <c:noMultiLvlLbl val="0"/>
      </c:catAx>
      <c:valAx>
        <c:axId val="8678604"/>
        <c:scaling>
          <c:orientation val="minMax"/>
        </c:scaling>
        <c:axPos val="l"/>
        <c:delete val="0"/>
        <c:numFmt formatCode="General" sourceLinked="1"/>
        <c:majorTickMark val="out"/>
        <c:minorTickMark val="none"/>
        <c:tickLblPos val="nextTo"/>
        <c:crossAx val="3079045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Ore complessive lavorate da persone normodotate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10998573"/>
        <c:axId val="31878294"/>
      </c:barChart>
      <c:catAx>
        <c:axId val="10998573"/>
        <c:scaling>
          <c:orientation val="minMax"/>
        </c:scaling>
        <c:axPos val="b"/>
        <c:delete val="1"/>
        <c:majorTickMark val="out"/>
        <c:minorTickMark val="none"/>
        <c:tickLblPos val="nextTo"/>
        <c:crossAx val="31878294"/>
        <c:crosses val="autoZero"/>
        <c:auto val="1"/>
        <c:lblOffset val="100"/>
        <c:noMultiLvlLbl val="0"/>
      </c:catAx>
      <c:valAx>
        <c:axId val="31878294"/>
        <c:scaling>
          <c:orientation val="minMax"/>
        </c:scaling>
        <c:axPos val="l"/>
        <c:delete val="0"/>
        <c:numFmt formatCode="General" sourceLinked="1"/>
        <c:majorTickMark val="out"/>
        <c:minorTickMark val="none"/>
        <c:tickLblPos val="nextTo"/>
        <c:crossAx val="1099857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Anno 2001</a:t>
            </a:r>
          </a:p>
        </c:rich>
      </c:tx>
      <c:layout/>
      <c:spPr>
        <a:noFill/>
        <a:ln>
          <a:noFill/>
        </a:ln>
      </c:spPr>
    </c:title>
    <c:view3D>
      <c:rotX val="15"/>
      <c:hPercent val="100"/>
      <c:rotY val="0"/>
      <c:depthPercent val="100"/>
      <c:rAngAx val="1"/>
    </c:view3D>
    <c:plotArea>
      <c:layout/>
      <c:pie3DChart>
        <c:varyColors val="1"/>
        <c:ser>
          <c:idx val="0"/>
          <c:order val="0"/>
          <c:explosion val="99"/>
          <c:extLst>
            <c:ext xmlns:c14="http://schemas.microsoft.com/office/drawing/2007/8/2/chart" uri="{6F2FDCE9-48DA-4B69-8628-5D25D57E5C99}">
              <c14:invertSolidFillFmt>
                <c14:spPr>
                  <a:solidFill>
                    <a:srgbClr val="000000"/>
                  </a:solidFill>
                </c14:spPr>
              </c14:invertSolidFillFmt>
            </c:ext>
          </c:extLst>
          <c:dPt>
            <c:idx val="0"/>
            <c:explosion val="45"/>
            <c:spPr>
              <a:solidFill>
                <a:srgbClr val="00FF00"/>
              </a:solidFill>
            </c:spPr>
          </c:dPt>
          <c:dPt>
            <c:idx val="1"/>
            <c:explosion val="23"/>
            <c:spPr>
              <a:solidFill>
                <a:srgbClr val="FF0000"/>
              </a:solidFill>
            </c:spPr>
          </c:dPt>
          <c:dLbls>
            <c:dLbl>
              <c:idx val="0"/>
              <c:layout>
                <c:manualLayout>
                  <c:x val="0"/>
                  <c:y val="0"/>
                </c:manualLayout>
              </c:layout>
              <c:tx>
                <c:rich>
                  <a:bodyPr vert="horz" rot="0" anchor="ctr"/>
                  <a:lstStyle/>
                  <a:p>
                    <a:pPr algn="ctr" rtl="1">
                      <a:defRPr/>
                    </a:pPr>
                    <a:r>
                      <a:rPr lang="en-US" cap="none" sz="250" b="0" i="0" u="none" baseline="0">
                        <a:latin typeface="Arial"/>
                        <a:ea typeface="Arial"/>
                        <a:cs typeface="Arial"/>
                      </a:rPr>
                      <a:t>ore complessive lavorate da persone svantaggiate
51,2%</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rtl="1">
                      <a:defRPr/>
                    </a:pPr>
                    <a:r>
                      <a:rPr lang="en-US" cap="none" sz="250" b="0" i="0" u="none" baseline="0">
                        <a:latin typeface="Arial"/>
                        <a:ea typeface="Arial"/>
                        <a:cs typeface="Arial"/>
                      </a:rPr>
                      <a:t>ore complessive lavorate da persone normodotate 
48,8%</a:t>
                    </a:r>
                  </a:p>
                </c:rich>
              </c:tx>
              <c:numFmt formatCode="General" sourceLinked="1"/>
              <c:showLegendKey val="0"/>
              <c:showVal val="0"/>
              <c:showBubbleSize val="0"/>
              <c:showCatName val="1"/>
              <c:showSerName val="0"/>
              <c:showPercent val="1"/>
            </c:dLbl>
            <c:numFmt formatCode="0.0%" sourceLinked="0"/>
            <c:txPr>
              <a:bodyPr vert="horz" rot="0" anchor="ctr"/>
              <a:lstStyle/>
              <a:p>
                <a:pPr algn="ctr" rtl="1">
                  <a:defRPr lang="en-US" cap="none" sz="250" b="0" i="0" u="none" baseline="0">
                    <a:latin typeface="Arial"/>
                    <a:ea typeface="Arial"/>
                    <a:cs typeface="Arial"/>
                  </a:defRPr>
                </a:pPr>
              </a:p>
            </c:txPr>
            <c:showLegendKey val="0"/>
            <c:showVal val="0"/>
            <c:showBubbleSize val="0"/>
            <c:showCatName val="1"/>
            <c:showSerName val="0"/>
            <c:showLeaderLines val="1"/>
            <c:showPercent val="1"/>
          </c:dLbls>
          <c:cat>
            <c:strRef>
              <c:f>(indicatori!#REF!,indicatori!#REF!)</c:f>
              <c:strCache>
                <c:ptCount val="1"/>
                <c:pt idx="0">
                  <c:v>1</c:v>
                </c:pt>
              </c:strCache>
            </c:strRef>
          </c:cat>
          <c:val>
            <c:numRef>
              <c:f>(indicatori!#REF!,indicatori!#REF!)</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Indicatore di anzianità - Anno 2002</a:t>
            </a:r>
          </a:p>
        </c:rich>
      </c:tx>
      <c:layout/>
      <c:spPr>
        <a:noFill/>
        <a:ln>
          <a:noFill/>
        </a:ln>
      </c:spPr>
    </c:title>
    <c:view3D>
      <c:rotX val="15"/>
      <c:hPercent val="100"/>
      <c:rotY val="0"/>
      <c:depthPercent val="100"/>
      <c:rAngAx val="1"/>
    </c:view3D>
    <c:plotArea>
      <c:layout>
        <c:manualLayout>
          <c:xMode val="edge"/>
          <c:yMode val="edge"/>
          <c:x val="0.2255"/>
          <c:y val="0.34925"/>
          <c:w val="0.5245"/>
          <c:h val="0.433"/>
        </c:manualLayout>
      </c:layout>
      <c:pie3DChart>
        <c:varyColors val="1"/>
        <c:ser>
          <c:idx val="0"/>
          <c:order val="0"/>
          <c:explosion val="99"/>
          <c:extLst>
            <c:ext xmlns:c14="http://schemas.microsoft.com/office/drawing/2007/8/2/chart" uri="{6F2FDCE9-48DA-4B69-8628-5D25D57E5C99}">
              <c14:invertSolidFillFmt>
                <c14:spPr>
                  <a:solidFill>
                    <a:srgbClr val="000000"/>
                  </a:solidFill>
                </c14:spPr>
              </c14:invertSolidFillFmt>
            </c:ext>
          </c:extLst>
          <c:dPt>
            <c:idx val="0"/>
            <c:explosion val="110"/>
            <c:spPr>
              <a:solidFill>
                <a:srgbClr val="3366FF"/>
              </a:solidFill>
            </c:spPr>
          </c:dPt>
          <c:dPt>
            <c:idx val="1"/>
            <c:explosion val="128"/>
            <c:spPr>
              <a:solidFill>
                <a:srgbClr val="FFFF00"/>
              </a:solidFill>
            </c:spPr>
          </c:dPt>
          <c:dLbls>
            <c:dLbl>
              <c:idx val="0"/>
              <c:layout>
                <c:manualLayout>
                  <c:x val="0"/>
                  <c:y val="0"/>
                </c:manualLayout>
              </c:layout>
              <c:txPr>
                <a:bodyPr vert="horz" rot="0" anchor="ctr"/>
                <a:lstStyle/>
                <a:p>
                  <a:pPr algn="ctr" rtl="1">
                    <a:defRPr lang="en-US" cap="none" sz="875"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75"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875" b="0" i="0" u="none" baseline="0">
                    <a:latin typeface="Arial"/>
                    <a:ea typeface="Arial"/>
                    <a:cs typeface="Arial"/>
                  </a:defRPr>
                </a:pPr>
              </a:p>
            </c:txPr>
            <c:showLegendKey val="0"/>
            <c:showVal val="0"/>
            <c:showBubbleSize val="0"/>
            <c:showCatName val="1"/>
            <c:showSerName val="0"/>
            <c:showLeaderLines val="1"/>
            <c:showPercent val="1"/>
          </c:dLbls>
          <c:cat>
            <c:strRef>
              <c:f>(indicatori!$A$114,indicatori!$A$115)</c:f>
              <c:strCache/>
            </c:strRef>
          </c:cat>
          <c:val>
            <c:numRef>
              <c:f>(indicatori!$G$114,indicatori!$G$115)</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Tipologie di assenze - Anno 2002</a:t>
            </a:r>
          </a:p>
        </c:rich>
      </c:tx>
      <c:layout/>
      <c:spPr>
        <a:noFill/>
        <a:ln>
          <a:noFill/>
        </a:ln>
      </c:spPr>
    </c:title>
    <c:view3D>
      <c:rotX val="15"/>
      <c:hPercent val="100"/>
      <c:rotY val="0"/>
      <c:depthPercent val="100"/>
      <c:rAngAx val="1"/>
    </c:view3D>
    <c:plotArea>
      <c:layout>
        <c:manualLayout>
          <c:xMode val="edge"/>
          <c:yMode val="edge"/>
          <c:x val="0.378"/>
          <c:y val="0.4405"/>
          <c:w val="0.25625"/>
          <c:h val="0.2495"/>
        </c:manualLayout>
      </c:layout>
      <c:pie3DChart>
        <c:varyColors val="1"/>
        <c:ser>
          <c:idx val="0"/>
          <c:order val="0"/>
          <c:explosion val="126"/>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c:spPr>
          </c:dPt>
          <c:dPt>
            <c:idx val="1"/>
            <c:spPr>
              <a:solidFill>
                <a:srgbClr val="FF0000"/>
              </a:solidFill>
            </c:spPr>
          </c:dPt>
          <c:dPt>
            <c:idx val="2"/>
            <c:spPr>
              <a:solidFill>
                <a:srgbClr val="00FF00"/>
              </a:solidFill>
            </c:spPr>
          </c:dPt>
          <c:dPt>
            <c:idx val="3"/>
            <c:spPr>
              <a:solidFill>
                <a:srgbClr val="3366FF"/>
              </a:solidFill>
            </c:spPr>
          </c:dPt>
          <c:dPt>
            <c:idx val="4"/>
          </c:dPt>
          <c:dLbls>
            <c:dLbl>
              <c:idx val="0"/>
              <c:layout>
                <c:manualLayout>
                  <c:x val="0"/>
                  <c:y val="0"/>
                </c:manualLayout>
              </c:layout>
              <c:txPr>
                <a:bodyPr vert="horz" rot="0" anchor="ctr"/>
                <a:lstStyle/>
                <a:p>
                  <a:pPr algn="ctr" rtl="1">
                    <a:defRPr lang="en-US" cap="none" sz="120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200"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200"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txPr>
                <a:bodyPr vert="horz" rot="0" anchor="ctr"/>
                <a:lstStyle/>
                <a:p>
                  <a:pPr algn="ctr" rtl="1">
                    <a:defRPr lang="en-US" cap="none" sz="1200"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1200" b="0" i="0" u="none" baseline="0">
                    <a:latin typeface="Arial"/>
                    <a:ea typeface="Arial"/>
                    <a:cs typeface="Arial"/>
                  </a:defRPr>
                </a:pPr>
              </a:p>
            </c:txPr>
            <c:showLegendKey val="0"/>
            <c:showVal val="0"/>
            <c:showBubbleSize val="0"/>
            <c:showCatName val="1"/>
            <c:showSerName val="0"/>
            <c:showLeaderLines val="1"/>
            <c:showPercent val="1"/>
          </c:dLbls>
          <c:cat>
            <c:strRef>
              <c:f>(indicatori!$A$146,indicatori!$A$147,indicatori!$A$149)</c:f>
              <c:strCache/>
            </c:strRef>
          </c:cat>
          <c:val>
            <c:numRef>
              <c:f>(indicatori!$G$146,indicatori!$G$147,indicatori!$G$149)</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n° commesse acquisite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18469191"/>
        <c:axId val="32004992"/>
      </c:barChart>
      <c:catAx>
        <c:axId val="18469191"/>
        <c:scaling>
          <c:orientation val="minMax"/>
        </c:scaling>
        <c:axPos val="b"/>
        <c:delete val="1"/>
        <c:majorTickMark val="out"/>
        <c:minorTickMark val="none"/>
        <c:tickLblPos val="nextTo"/>
        <c:crossAx val="32004992"/>
        <c:crosses val="autoZero"/>
        <c:auto val="1"/>
        <c:lblOffset val="100"/>
        <c:noMultiLvlLbl val="0"/>
      </c:catAx>
      <c:valAx>
        <c:axId val="32004992"/>
        <c:scaling>
          <c:orientation val="minMax"/>
        </c:scaling>
        <c:axPos val="l"/>
        <c:delete val="0"/>
        <c:numFmt formatCode="General" sourceLinked="1"/>
        <c:majorTickMark val="out"/>
        <c:minorTickMark val="none"/>
        <c:tickLblPos val="nextTo"/>
        <c:crossAx val="1846919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n° commesse non acquisite</a:t>
            </a:r>
          </a:p>
        </c:rich>
      </c:tx>
      <c:layout/>
      <c:spPr>
        <a:noFill/>
        <a:ln>
          <a:noFill/>
        </a:ln>
      </c:spPr>
    </c:title>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ser>
          <c:idx val="2"/>
          <c:order val="2"/>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3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25" b="0" i="0" u="none" baseline="0">
                    <a:latin typeface="Arial"/>
                    <a:ea typeface="Arial"/>
                    <a:cs typeface="Arial"/>
                  </a:defRPr>
                </a:pPr>
              </a:p>
            </c:txPr>
            <c:showLegendKey val="0"/>
            <c:showVal val="1"/>
            <c:showBubbleSize val="0"/>
            <c:showCatName val="0"/>
            <c:showSerName val="0"/>
            <c:showPercent val="0"/>
          </c:dLbls>
          <c:cat>
            <c:strRef>
              <c:f>indicatori!#REF!</c:f>
              <c:strCache>
                <c:ptCount val="1"/>
                <c:pt idx="0">
                  <c:v>1</c:v>
                </c:pt>
              </c:strCache>
            </c:strRef>
          </c:cat>
          <c:val>
            <c:numRef>
              <c:f>indicatori!#REF!</c:f>
              <c:numCache>
                <c:ptCount val="1"/>
                <c:pt idx="0">
                  <c:v>1</c:v>
                </c:pt>
              </c:numCache>
            </c:numRef>
          </c:val>
        </c:ser>
        <c:axId val="19609473"/>
        <c:axId val="42267530"/>
      </c:barChart>
      <c:catAx>
        <c:axId val="19609473"/>
        <c:scaling>
          <c:orientation val="minMax"/>
        </c:scaling>
        <c:axPos val="b"/>
        <c:delete val="1"/>
        <c:majorTickMark val="out"/>
        <c:minorTickMark val="none"/>
        <c:tickLblPos val="nextTo"/>
        <c:crossAx val="42267530"/>
        <c:crosses val="autoZero"/>
        <c:auto val="1"/>
        <c:lblOffset val="100"/>
        <c:noMultiLvlLbl val="0"/>
      </c:catAx>
      <c:valAx>
        <c:axId val="42267530"/>
        <c:scaling>
          <c:orientation val="minMax"/>
        </c:scaling>
        <c:axPos val="l"/>
        <c:delete val="0"/>
        <c:numFmt formatCode="General" sourceLinked="1"/>
        <c:majorTickMark val="out"/>
        <c:minorTickMark val="none"/>
        <c:tickLblPos val="nextTo"/>
        <c:crossAx val="1960947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Anno 2001</a:t>
            </a:r>
          </a:p>
        </c:rich>
      </c:tx>
      <c:layout/>
      <c:spPr>
        <a:noFill/>
        <a:ln>
          <a:noFill/>
        </a:ln>
      </c:spPr>
    </c:title>
    <c:view3D>
      <c:rotX val="15"/>
      <c:hPercent val="100"/>
      <c:rotY val="0"/>
      <c:depthPercent val="100"/>
      <c:rAngAx val="1"/>
    </c:view3D>
    <c:plotArea>
      <c:layout/>
      <c:pie3DChart>
        <c:varyColors val="1"/>
        <c:ser>
          <c:idx val="0"/>
          <c:order val="0"/>
          <c:explosion val="99"/>
          <c:extLst>
            <c:ext xmlns:c14="http://schemas.microsoft.com/office/drawing/2007/8/2/chart" uri="{6F2FDCE9-48DA-4B69-8628-5D25D57E5C99}">
              <c14:invertSolidFillFmt>
                <c14:spPr>
                  <a:solidFill>
                    <a:srgbClr val="000000"/>
                  </a:solidFill>
                </c14:spPr>
              </c14:invertSolidFillFmt>
            </c:ext>
          </c:extLst>
          <c:dPt>
            <c:idx val="0"/>
            <c:explosion val="28"/>
            <c:spPr>
              <a:solidFill>
                <a:srgbClr val="00FF00"/>
              </a:solidFill>
            </c:spPr>
          </c:dPt>
          <c:dPt>
            <c:idx val="1"/>
            <c:explosion val="34"/>
            <c:spPr>
              <a:solidFill>
                <a:srgbClr val="FF0000"/>
              </a:solidFill>
            </c:spPr>
          </c:dPt>
          <c:dLbls>
            <c:dLbl>
              <c:idx val="0"/>
              <c:layout>
                <c:manualLayout>
                  <c:x val="0"/>
                  <c:y val="0"/>
                </c:manualLayout>
              </c:layout>
              <c:txPr>
                <a:bodyPr vert="horz" rot="0" anchor="ctr"/>
                <a:lstStyle/>
                <a:p>
                  <a:pPr algn="ctr" rtl="1">
                    <a:defRPr lang="en-US" cap="none" sz="250" b="0" i="0" u="none" baseline="0">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250"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rtl="1">
                  <a:defRPr lang="en-US" cap="none" sz="250" b="0" i="0" u="none" baseline="0">
                    <a:latin typeface="Arial"/>
                    <a:ea typeface="Arial"/>
                    <a:cs typeface="Arial"/>
                  </a:defRPr>
                </a:pPr>
              </a:p>
            </c:txPr>
            <c:showLegendKey val="0"/>
            <c:showVal val="0"/>
            <c:showBubbleSize val="0"/>
            <c:showCatName val="1"/>
            <c:showSerName val="0"/>
            <c:showLeaderLines val="1"/>
            <c:showPercent val="1"/>
          </c:dLbls>
          <c:cat>
            <c:strRef>
              <c:f>(indicatori!#REF!,indicatori!#REF!)</c:f>
              <c:strCache>
                <c:ptCount val="1"/>
                <c:pt idx="0">
                  <c:v>1</c:v>
                </c:pt>
              </c:strCache>
            </c:strRef>
          </c:cat>
          <c:val>
            <c:numRef>
              <c:f>(indicatori!#REF!,indicatori!#REF!)</c:f>
              <c:numCache>
                <c:ptCount val="1"/>
                <c:pt idx="0">
                  <c:v>1</c:v>
                </c:pt>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2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Indicatore delle ore lavorate</a:t>
            </a:r>
          </a:p>
        </c:rich>
      </c:tx>
      <c:layout/>
      <c:spPr>
        <a:noFill/>
        <a:ln>
          <a:noFill/>
        </a:ln>
      </c:spPr>
    </c:title>
    <c:view3D>
      <c:rotX val="15"/>
      <c:hPercent val="100"/>
      <c:rotY val="0"/>
      <c:depthPercent val="100"/>
      <c:rAngAx val="1"/>
    </c:view3D>
    <c:plotArea>
      <c:layout>
        <c:manualLayout>
          <c:xMode val="edge"/>
          <c:yMode val="edge"/>
          <c:x val="0.283"/>
          <c:y val="0.43175"/>
          <c:w val="0.5095"/>
          <c:h val="0.271"/>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FFFF00"/>
              </a:solidFill>
            </c:spPr>
          </c:dPt>
          <c:dPt>
            <c:idx val="2"/>
            <c:spPr>
              <a:solidFill>
                <a:srgbClr val="FFFF00"/>
              </a:solidFill>
            </c:spPr>
          </c:dPt>
          <c:dPt>
            <c:idx val="4"/>
            <c:spPr>
              <a:solidFill>
                <a:srgbClr val="FF99CC"/>
              </a:solidFill>
            </c:spPr>
          </c:dPt>
          <c:dLbls>
            <c:dLbl>
              <c:idx val="0"/>
              <c:layout>
                <c:manualLayout>
                  <c:x val="0"/>
                  <c:y val="0"/>
                </c:manualLayout>
              </c:layout>
              <c:txPr>
                <a:bodyPr vert="horz" rot="0" anchor="ctr"/>
                <a:lstStyle/>
                <a:p>
                  <a:pPr algn="ctr" rtl="1">
                    <a:defRPr lang="en-US" cap="none" sz="1125" b="0" i="0" u="none" baseline="0">
                      <a:latin typeface="Arial"/>
                      <a:ea typeface="Arial"/>
                      <a:cs typeface="Arial"/>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125" b="0" i="0" u="none" baseline="0">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125" b="0" i="0" u="none" baseline="0">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125" b="0" i="0" u="none" baseline="0">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125" b="0" i="0" u="none" baseline="0">
                      <a:latin typeface="Arial"/>
                      <a:ea typeface="Arial"/>
                      <a:cs typeface="Aria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rtl="1">
                  <a:defRPr lang="en-US" cap="none" sz="1125" b="0" i="0" u="none" baseline="0">
                    <a:latin typeface="Arial"/>
                    <a:ea typeface="Arial"/>
                    <a:cs typeface="Arial"/>
                  </a:defRPr>
                </a:pPr>
              </a:p>
            </c:txPr>
            <c:showLegendKey val="0"/>
            <c:showVal val="0"/>
            <c:showBubbleSize val="0"/>
            <c:showCatName val="1"/>
            <c:showSerName val="0"/>
            <c:showLeaderLines val="1"/>
            <c:showPercent val="1"/>
          </c:dLbls>
          <c:cat>
            <c:strRef>
              <c:f>(indicatori!$A$24,indicatori!$A$25,indicatori!$A$26,indicatori!$A$27,indicatori!$A$28)</c:f>
              <c:strCache/>
            </c:strRef>
          </c:cat>
          <c:val>
            <c:numRef>
              <c:f>(indicatori!$G$24,indicatori!$G$25,indicatori!$G$26,indicatori!$G$27,indicatori!$G$28)</c:f>
              <c:numCache/>
            </c:numRef>
          </c:val>
        </c:ser>
      </c:pie3DChart>
      <c:spPr>
        <a:noFill/>
        <a:ln>
          <a:noFill/>
        </a:ln>
      </c:spPr>
    </c:plotArea>
    <c:sideWall>
      <c:thickness val="0"/>
    </c:sideWall>
    <c:backWall>
      <c:thickness val="0"/>
    </c:backWall>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A finanziatori ordinari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(stakeholder!$C$14,stakeholder!$E$14)</c:f>
              <c:numCache/>
            </c:numRef>
          </c:val>
        </c:ser>
        <c:axId val="64832225"/>
        <c:axId val="46619114"/>
      </c:barChart>
      <c:catAx>
        <c:axId val="64832225"/>
        <c:scaling>
          <c:orientation val="minMax"/>
        </c:scaling>
        <c:axPos val="b"/>
        <c:delete val="0"/>
        <c:numFmt formatCode="General" sourceLinked="1"/>
        <c:majorTickMark val="out"/>
        <c:minorTickMark val="none"/>
        <c:tickLblPos val="nextTo"/>
        <c:crossAx val="46619114"/>
        <c:crosses val="autoZero"/>
        <c:auto val="1"/>
        <c:lblOffset val="100"/>
        <c:noMultiLvlLbl val="0"/>
      </c:catAx>
      <c:valAx>
        <c:axId val="46619114"/>
        <c:scaling>
          <c:orientation val="minMax"/>
        </c:scaling>
        <c:axPos val="l"/>
        <c:delete val="0"/>
        <c:numFmt formatCode="General" sourceLinked="1"/>
        <c:majorTickMark val="out"/>
        <c:minorTickMark val="none"/>
        <c:tickLblPos val="nextTo"/>
        <c:crossAx val="6483222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Prestatori d'opera</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(indicatori!$E$26,indicatori!$G$26)</c:f>
              <c:numCache/>
            </c:numRef>
          </c:val>
        </c:ser>
        <c:axId val="44863451"/>
        <c:axId val="1117876"/>
      </c:barChart>
      <c:catAx>
        <c:axId val="44863451"/>
        <c:scaling>
          <c:orientation val="minMax"/>
        </c:scaling>
        <c:axPos val="b"/>
        <c:delete val="0"/>
        <c:numFmt formatCode="General" sourceLinked="1"/>
        <c:majorTickMark val="out"/>
        <c:minorTickMark val="none"/>
        <c:tickLblPos val="nextTo"/>
        <c:crossAx val="1117876"/>
        <c:crosses val="autoZero"/>
        <c:auto val="1"/>
        <c:lblOffset val="100"/>
        <c:noMultiLvlLbl val="0"/>
      </c:catAx>
      <c:valAx>
        <c:axId val="1117876"/>
        <c:scaling>
          <c:orientation val="minMax"/>
        </c:scaling>
        <c:axPos val="l"/>
        <c:delete val="0"/>
        <c:numFmt formatCode="General" sourceLinked="1"/>
        <c:majorTickMark val="out"/>
        <c:minorTickMark val="none"/>
        <c:tickLblPos val="nextTo"/>
        <c:crossAx val="4486345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Obiettori di coscienza</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(indicatori!$E$27,indicatori!$G$27)</c:f>
              <c:numCache/>
            </c:numRef>
          </c:val>
        </c:ser>
        <c:axId val="10060885"/>
        <c:axId val="23439102"/>
      </c:barChart>
      <c:catAx>
        <c:axId val="10060885"/>
        <c:scaling>
          <c:orientation val="minMax"/>
        </c:scaling>
        <c:axPos val="b"/>
        <c:delete val="0"/>
        <c:numFmt formatCode="General" sourceLinked="1"/>
        <c:majorTickMark val="out"/>
        <c:minorTickMark val="none"/>
        <c:tickLblPos val="nextTo"/>
        <c:crossAx val="23439102"/>
        <c:crosses val="autoZero"/>
        <c:auto val="1"/>
        <c:lblOffset val="100"/>
        <c:noMultiLvlLbl val="0"/>
      </c:catAx>
      <c:valAx>
        <c:axId val="23439102"/>
        <c:scaling>
          <c:orientation val="minMax"/>
        </c:scaling>
        <c:axPos val="l"/>
        <c:delete val="0"/>
        <c:numFmt formatCode="General" sourceLinked="1"/>
        <c:majorTickMark val="out"/>
        <c:minorTickMark val="none"/>
        <c:tickLblPos val="nextTo"/>
        <c:crossAx val="1006088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Volontari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(indicatori!$E$28,indicatori!$G$28)</c:f>
              <c:numCache/>
            </c:numRef>
          </c:val>
        </c:ser>
        <c:axId val="9625327"/>
        <c:axId val="19519080"/>
      </c:barChart>
      <c:catAx>
        <c:axId val="9625327"/>
        <c:scaling>
          <c:orientation val="minMax"/>
        </c:scaling>
        <c:axPos val="b"/>
        <c:delete val="0"/>
        <c:numFmt formatCode="General" sourceLinked="1"/>
        <c:majorTickMark val="out"/>
        <c:minorTickMark val="none"/>
        <c:tickLblPos val="nextTo"/>
        <c:crossAx val="19519080"/>
        <c:crosses val="autoZero"/>
        <c:auto val="1"/>
        <c:lblOffset val="100"/>
        <c:noMultiLvlLbl val="0"/>
      </c:catAx>
      <c:valAx>
        <c:axId val="19519080"/>
        <c:scaling>
          <c:orientation val="minMax"/>
        </c:scaling>
        <c:axPos val="l"/>
        <c:delete val="0"/>
        <c:numFmt formatCode="General" sourceLinked="1"/>
        <c:majorTickMark val="out"/>
        <c:minorTickMark val="none"/>
        <c:tickLblPos val="nextTo"/>
        <c:crossAx val="962532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latin typeface="Arial"/>
                <a:ea typeface="Arial"/>
                <a:cs typeface="Arial"/>
              </a:rPr>
              <a:t>Donne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(indicatori!$E$75,indicatori!$G$75)</c:f>
              <c:numCache/>
            </c:numRef>
          </c:val>
        </c:ser>
        <c:axId val="41453993"/>
        <c:axId val="37541618"/>
      </c:barChart>
      <c:catAx>
        <c:axId val="41453993"/>
        <c:scaling>
          <c:orientation val="minMax"/>
        </c:scaling>
        <c:axPos val="b"/>
        <c:delete val="0"/>
        <c:numFmt formatCode="General" sourceLinked="1"/>
        <c:majorTickMark val="out"/>
        <c:minorTickMark val="none"/>
        <c:tickLblPos val="nextTo"/>
        <c:crossAx val="37541618"/>
        <c:crosses val="autoZero"/>
        <c:auto val="1"/>
        <c:lblOffset val="100"/>
        <c:noMultiLvlLbl val="0"/>
      </c:catAx>
      <c:valAx>
        <c:axId val="37541618"/>
        <c:scaling>
          <c:orientation val="minMax"/>
        </c:scaling>
        <c:axPos val="l"/>
        <c:delete val="0"/>
        <c:numFmt formatCode="General" sourceLinked="1"/>
        <c:majorTickMark val="out"/>
        <c:minorTickMark val="none"/>
        <c:tickLblPos val="nextTo"/>
        <c:crossAx val="4145399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Uomini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(indicatori!$E$76,indicatori!$G$76)</c:f>
              <c:numCache/>
            </c:numRef>
          </c:val>
        </c:ser>
        <c:axId val="2330243"/>
        <c:axId val="20972188"/>
      </c:barChart>
      <c:catAx>
        <c:axId val="2330243"/>
        <c:scaling>
          <c:orientation val="minMax"/>
        </c:scaling>
        <c:axPos val="b"/>
        <c:delete val="0"/>
        <c:numFmt formatCode="General" sourceLinked="1"/>
        <c:majorTickMark val="out"/>
        <c:minorTickMark val="none"/>
        <c:tickLblPos val="nextTo"/>
        <c:crossAx val="20972188"/>
        <c:crosses val="autoZero"/>
        <c:auto val="1"/>
        <c:lblOffset val="100"/>
        <c:noMultiLvlLbl val="0"/>
      </c:catAx>
      <c:valAx>
        <c:axId val="20972188"/>
        <c:scaling>
          <c:orientation val="minMax"/>
        </c:scaling>
        <c:axPos val="l"/>
        <c:delete val="0"/>
        <c:numFmt formatCode="General" sourceLinked="1"/>
        <c:majorTickMark val="out"/>
        <c:minorTickMark val="none"/>
        <c:tickLblPos val="nextTo"/>
        <c:crossAx val="233024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Ore lavorate con + di 2 anni di anzianità</a:t>
            </a:r>
          </a:p>
        </c:rich>
      </c:tx>
      <c:layout/>
      <c:spPr>
        <a:noFill/>
        <a:ln>
          <a:noFill/>
        </a:ln>
      </c:spPr>
    </c:title>
    <c:plotArea>
      <c:layout>
        <c:manualLayout>
          <c:xMode val="edge"/>
          <c:yMode val="edge"/>
          <c:x val="0.03625"/>
          <c:y val="0.3575"/>
          <c:w val="0.92725"/>
          <c:h val="0.589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(indicatori!$E$114,indicatori!$G$114)</c:f>
              <c:numCache/>
            </c:numRef>
          </c:val>
        </c:ser>
        <c:axId val="54531965"/>
        <c:axId val="21025638"/>
      </c:barChart>
      <c:catAx>
        <c:axId val="54531965"/>
        <c:scaling>
          <c:orientation val="minMax"/>
        </c:scaling>
        <c:axPos val="b"/>
        <c:delete val="0"/>
        <c:numFmt formatCode="General" sourceLinked="1"/>
        <c:majorTickMark val="out"/>
        <c:minorTickMark val="none"/>
        <c:tickLblPos val="nextTo"/>
        <c:crossAx val="21025638"/>
        <c:crosses val="autoZero"/>
        <c:auto val="1"/>
        <c:lblOffset val="100"/>
        <c:noMultiLvlLbl val="0"/>
      </c:catAx>
      <c:valAx>
        <c:axId val="21025638"/>
        <c:scaling>
          <c:orientation val="minMax"/>
        </c:scaling>
        <c:axPos val="l"/>
        <c:delete val="0"/>
        <c:numFmt formatCode="General" sourceLinked="1"/>
        <c:majorTickMark val="out"/>
        <c:minorTickMark val="none"/>
        <c:tickLblPos val="nextTo"/>
        <c:crossAx val="5453196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Ore lavorate con - di 2 anni di
 anzianità</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numRef>
              <c:f>(indicatori!$E$2,indicatori!$G$2)</c:f>
              <c:numCache/>
            </c:numRef>
          </c:cat>
          <c:val>
            <c:numRef>
              <c:f>(indicatori!$E$115,indicatori!$G$115)</c:f>
              <c:numCache/>
            </c:numRef>
          </c:val>
        </c:ser>
        <c:axId val="55013015"/>
        <c:axId val="25355088"/>
      </c:barChart>
      <c:catAx>
        <c:axId val="55013015"/>
        <c:scaling>
          <c:orientation val="minMax"/>
        </c:scaling>
        <c:axPos val="b"/>
        <c:delete val="0"/>
        <c:numFmt formatCode="General" sourceLinked="1"/>
        <c:majorTickMark val="out"/>
        <c:minorTickMark val="none"/>
        <c:tickLblPos val="nextTo"/>
        <c:crossAx val="25355088"/>
        <c:crosses val="autoZero"/>
        <c:auto val="1"/>
        <c:lblOffset val="100"/>
        <c:noMultiLvlLbl val="0"/>
      </c:catAx>
      <c:valAx>
        <c:axId val="25355088"/>
        <c:scaling>
          <c:orientation val="minMax"/>
        </c:scaling>
        <c:axPos val="l"/>
        <c:delete val="0"/>
        <c:numFmt formatCode="General" sourceLinked="1"/>
        <c:majorTickMark val="out"/>
        <c:minorTickMark val="none"/>
        <c:tickLblPos val="nextTo"/>
        <c:crossAx val="55013015"/>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 soci finanziatori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(stakeholder!$C$17,stakeholder!$E$17)</c:f>
              <c:numCache/>
            </c:numRef>
          </c:val>
        </c:ser>
        <c:axId val="16918843"/>
        <c:axId val="18051860"/>
      </c:barChart>
      <c:catAx>
        <c:axId val="16918843"/>
        <c:scaling>
          <c:orientation val="minMax"/>
        </c:scaling>
        <c:axPos val="b"/>
        <c:delete val="0"/>
        <c:numFmt formatCode="General" sourceLinked="1"/>
        <c:majorTickMark val="out"/>
        <c:minorTickMark val="none"/>
        <c:tickLblPos val="nextTo"/>
        <c:crossAx val="18051860"/>
        <c:crosses val="autoZero"/>
        <c:auto val="1"/>
        <c:lblOffset val="100"/>
        <c:noMultiLvlLbl val="0"/>
      </c:catAx>
      <c:valAx>
        <c:axId val="18051860"/>
        <c:scaling>
          <c:orientation val="minMax"/>
        </c:scaling>
        <c:axPos val="l"/>
        <c:delete val="0"/>
        <c:numFmt formatCode="General" sourceLinked="1"/>
        <c:majorTickMark val="out"/>
        <c:minorTickMark val="none"/>
        <c:tickLblPos val="nextTo"/>
        <c:crossAx val="1691884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A impresa sociale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(stakeholder!$C$19,stakeholder!$E$19)</c:f>
              <c:numCache/>
            </c:numRef>
          </c:val>
        </c:ser>
        <c:axId val="28249013"/>
        <c:axId val="52914526"/>
      </c:barChart>
      <c:catAx>
        <c:axId val="28249013"/>
        <c:scaling>
          <c:orientation val="minMax"/>
        </c:scaling>
        <c:axPos val="b"/>
        <c:delete val="0"/>
        <c:numFmt formatCode="General" sourceLinked="1"/>
        <c:majorTickMark val="out"/>
        <c:minorTickMark val="none"/>
        <c:tickLblPos val="nextTo"/>
        <c:crossAx val="52914526"/>
        <c:crosses val="autoZero"/>
        <c:auto val="1"/>
        <c:lblOffset val="100"/>
        <c:noMultiLvlLbl val="0"/>
      </c:catAx>
      <c:valAx>
        <c:axId val="52914526"/>
        <c:scaling>
          <c:orientation val="minMax"/>
        </c:scaling>
        <c:axPos val="l"/>
        <c:delete val="0"/>
        <c:numFmt formatCode="General" sourceLinked="1"/>
        <c:majorTickMark val="out"/>
        <c:minorTickMark val="none"/>
        <c:tickLblPos val="nextTo"/>
        <c:crossAx val="2824901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 soci lavoratori, collaboratori e consulenti</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(stakeholder!$C$21,stakeholder!$E$21)</c:f>
              <c:numCache/>
            </c:numRef>
          </c:val>
        </c:ser>
        <c:axId val="6468687"/>
        <c:axId val="58218184"/>
      </c:barChart>
      <c:catAx>
        <c:axId val="6468687"/>
        <c:scaling>
          <c:orientation val="minMax"/>
        </c:scaling>
        <c:axPos val="b"/>
        <c:delete val="0"/>
        <c:numFmt formatCode="General" sourceLinked="1"/>
        <c:majorTickMark val="out"/>
        <c:minorTickMark val="none"/>
        <c:tickLblPos val="nextTo"/>
        <c:crossAx val="58218184"/>
        <c:crosses val="autoZero"/>
        <c:auto val="1"/>
        <c:lblOffset val="100"/>
        <c:noMultiLvlLbl val="0"/>
      </c:catAx>
      <c:valAx>
        <c:axId val="58218184"/>
        <c:scaling>
          <c:orientation val="minMax"/>
        </c:scaling>
        <c:axPos val="l"/>
        <c:delete val="0"/>
        <c:numFmt formatCode="General" sourceLinked="1"/>
        <c:majorTickMark val="out"/>
        <c:minorTickMark val="none"/>
        <c:tickLblPos val="nextTo"/>
        <c:crossAx val="646868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 organizzazioni cooperative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(stakeholder!$C$35,stakeholder!$E$35)</c:f>
              <c:numCache/>
            </c:numRef>
          </c:val>
        </c:ser>
        <c:axId val="54201609"/>
        <c:axId val="18052434"/>
      </c:barChart>
      <c:catAx>
        <c:axId val="54201609"/>
        <c:scaling>
          <c:orientation val="minMax"/>
        </c:scaling>
        <c:axPos val="b"/>
        <c:delete val="0"/>
        <c:numFmt formatCode="General" sourceLinked="1"/>
        <c:majorTickMark val="out"/>
        <c:minorTickMark val="none"/>
        <c:tickLblPos val="nextTo"/>
        <c:crossAx val="18052434"/>
        <c:crosses val="autoZero"/>
        <c:auto val="1"/>
        <c:lblOffset val="100"/>
        <c:noMultiLvlLbl val="0"/>
      </c:catAx>
      <c:valAx>
        <c:axId val="18052434"/>
        <c:scaling>
          <c:orientation val="minMax"/>
        </c:scaling>
        <c:axPos val="l"/>
        <c:delete val="0"/>
        <c:numFmt formatCode="General" sourceLinked="1"/>
        <c:majorTickMark val="out"/>
        <c:minorTickMark val="none"/>
        <c:tickLblPos val="nextTo"/>
        <c:crossAx val="5420160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A ente locale (comune e regione)</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(stakeholder!$C$51,stakeholder!$E$51)</c:f>
              <c:numCache/>
            </c:numRef>
          </c:val>
        </c:ser>
        <c:axId val="28254179"/>
        <c:axId val="52961020"/>
      </c:barChart>
      <c:catAx>
        <c:axId val="28254179"/>
        <c:scaling>
          <c:orientation val="minMax"/>
        </c:scaling>
        <c:axPos val="b"/>
        <c:delete val="0"/>
        <c:numFmt formatCode="General" sourceLinked="1"/>
        <c:majorTickMark val="out"/>
        <c:minorTickMark val="none"/>
        <c:tickLblPos val="nextTo"/>
        <c:crossAx val="52961020"/>
        <c:crosses val="autoZero"/>
        <c:auto val="1"/>
        <c:lblOffset val="100"/>
        <c:noMultiLvlLbl val="0"/>
      </c:catAx>
      <c:valAx>
        <c:axId val="52961020"/>
        <c:scaling>
          <c:orientation val="minMax"/>
        </c:scaling>
        <c:axPos val="l"/>
        <c:delete val="0"/>
        <c:numFmt formatCode="General" sourceLinked="1"/>
        <c:majorTickMark val="out"/>
        <c:minorTickMark val="none"/>
        <c:tickLblPos val="nextTo"/>
        <c:crossAx val="2825417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A organizzazioni profit</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0000"/>
              </a:solidFill>
            </c:spPr>
          </c:dPt>
          <c:dPt>
            <c:idx val="1"/>
            <c:invertIfNegative val="0"/>
            <c:spPr>
              <a:solidFill>
                <a:srgbClr val="00FF00"/>
              </a:solidFill>
            </c:spPr>
          </c:dPt>
          <c:dLbls>
            <c:numFmt formatCode="General" sourceLinked="1"/>
            <c:showLegendKey val="0"/>
            <c:showVal val="1"/>
            <c:showBubbleSize val="0"/>
            <c:showCatName val="0"/>
            <c:showSerName val="0"/>
            <c:showPercent val="0"/>
          </c:dLbls>
          <c:cat>
            <c:strRef>
              <c:f>(stakeholder!$C$6,stakeholder!$E$6)</c:f>
              <c:strCache/>
            </c:strRef>
          </c:cat>
          <c:val>
            <c:numRef>
              <c:f>(stakeholder!$C$54,stakeholder!$E$54)</c:f>
              <c:numCache/>
            </c:numRef>
          </c:val>
        </c:ser>
        <c:axId val="6887133"/>
        <c:axId val="61984198"/>
      </c:barChart>
      <c:catAx>
        <c:axId val="6887133"/>
        <c:scaling>
          <c:orientation val="minMax"/>
        </c:scaling>
        <c:axPos val="b"/>
        <c:delete val="0"/>
        <c:numFmt formatCode="General" sourceLinked="1"/>
        <c:majorTickMark val="out"/>
        <c:minorTickMark val="none"/>
        <c:tickLblPos val="nextTo"/>
        <c:crossAx val="61984198"/>
        <c:crosses val="autoZero"/>
        <c:auto val="1"/>
        <c:lblOffset val="100"/>
        <c:noMultiLvlLbl val="0"/>
      </c:catAx>
      <c:valAx>
        <c:axId val="61984198"/>
        <c:scaling>
          <c:orientation val="minMax"/>
        </c:scaling>
        <c:axPos val="l"/>
        <c:delete val="0"/>
        <c:numFmt formatCode="General" sourceLinked="1"/>
        <c:majorTickMark val="out"/>
        <c:minorTickMark val="none"/>
        <c:tickLblPos val="nextTo"/>
        <c:crossAx val="688713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 Id="rId21" Type="http://schemas.openxmlformats.org/officeDocument/2006/relationships/chart" Target="/xl/charts/chart31.xml" /><Relationship Id="rId22" Type="http://schemas.openxmlformats.org/officeDocument/2006/relationships/chart" Target="/xl/charts/chart32.xml" /><Relationship Id="rId23" Type="http://schemas.openxmlformats.org/officeDocument/2006/relationships/chart" Target="/xl/charts/chart33.xml" /><Relationship Id="rId24" Type="http://schemas.openxmlformats.org/officeDocument/2006/relationships/chart" Target="/xl/charts/chart34.xml" /><Relationship Id="rId25" Type="http://schemas.openxmlformats.org/officeDocument/2006/relationships/chart" Target="/xl/charts/chart35.xml" /><Relationship Id="rId26" Type="http://schemas.openxmlformats.org/officeDocument/2006/relationships/chart" Target="/xl/charts/chart3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 Id="rId9"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133350</xdr:rowOff>
    </xdr:from>
    <xdr:to>
      <xdr:col>9</xdr:col>
      <xdr:colOff>685800</xdr:colOff>
      <xdr:row>3</xdr:row>
      <xdr:rowOff>57150</xdr:rowOff>
    </xdr:to>
    <xdr:sp>
      <xdr:nvSpPr>
        <xdr:cNvPr id="1" name="AutoShape 1"/>
        <xdr:cNvSpPr>
          <a:spLocks/>
        </xdr:cNvSpPr>
      </xdr:nvSpPr>
      <xdr:spPr>
        <a:xfrm>
          <a:off x="638175" y="152400"/>
          <a:ext cx="5553075" cy="428625"/>
        </a:xfrm>
        <a:prstGeom prst="rect"/>
        <a:noFill/>
      </xdr:spPr>
      <xdr:txBody>
        <a:bodyPr fromWordArt="1" wrap="none" lIns="91440" tIns="45720" rIns="91440" bIns="45720">
          <a:prstTxWarp prst="textPlain"/>
        </a:bodyPr>
        <a:p>
          <a:pPr algn="ctr"/>
          <a:r>
            <a:rPr sz="1600" kern="10" spc="0">
              <a:ln w="12700" cmpd="sng">
                <a:solidFill>
                  <a:srgbClr val="EAEAEA"/>
                </a:solidFill>
                <a:headEnd type="none"/>
                <a:tailEnd type="none"/>
              </a:ln>
              <a:solidFill>
                <a:srgbClr val="00CCFF"/>
              </a:solidFill>
              <a:effectLst>
                <a:outerShdw dist="35921" dir="2700000" sy="50000" kx="2115830" algn="bl">
                  <a:srgbClr val="C0C0C0">
                    <a:alpha val="100000"/>
                  </a:srgbClr>
                </a:outerShdw>
              </a:effectLst>
              <a:latin typeface="Arial Black"/>
              <a:cs typeface="Arial Black"/>
            </a:rPr>
            <a:t>Cooperativa  Il Fontanile - Bilancio Sociale Anno 2002</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0.54275</cdr:y>
    </cdr:from>
    <cdr:to>
      <cdr:x>0.61925</cdr:x>
      <cdr:y>0.722</cdr:y>
    </cdr:to>
    <cdr:sp>
      <cdr:nvSpPr>
        <cdr:cNvPr id="1" name="TextBox 1"/>
        <cdr:cNvSpPr txBox="1">
          <a:spLocks noChangeArrowheads="1"/>
        </cdr:cNvSpPr>
      </cdr:nvSpPr>
      <cdr:spPr>
        <a:xfrm>
          <a:off x="1123950" y="0"/>
          <a:ext cx="5810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0.20525</cdr:x>
      <cdr:y>0.6515</cdr:y>
    </cdr:from>
    <cdr:to>
      <cdr:x>0.40625</cdr:x>
      <cdr:y>0.7605</cdr:y>
    </cdr:to>
    <cdr:sp>
      <cdr:nvSpPr>
        <cdr:cNvPr id="2" name="TextBox 2"/>
        <cdr:cNvSpPr txBox="1">
          <a:spLocks noChangeArrowheads="1"/>
        </cdr:cNvSpPr>
      </cdr:nvSpPr>
      <cdr:spPr>
        <a:xfrm>
          <a:off x="561975" y="0"/>
          <a:ext cx="5524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0.61925</cdr:x>
      <cdr:y>0.67475</cdr:y>
    </cdr:from>
    <cdr:to>
      <cdr:x>0.7955</cdr:x>
      <cdr:y>0.7605</cdr:y>
    </cdr:to>
    <cdr:sp>
      <cdr:nvSpPr>
        <cdr:cNvPr id="3" name="TextBox 3"/>
        <cdr:cNvSpPr txBox="1">
          <a:spLocks noChangeArrowheads="1"/>
        </cdr:cNvSpPr>
      </cdr:nvSpPr>
      <cdr:spPr>
        <a:xfrm>
          <a:off x="1704975" y="0"/>
          <a:ext cx="48577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0.257</cdr:x>
      <cdr:y>0.6545</cdr:y>
    </cdr:from>
    <cdr:to>
      <cdr:x>0.4355</cdr:x>
      <cdr:y>0.8085</cdr:y>
    </cdr:to>
    <cdr:sp>
      <cdr:nvSpPr>
        <cdr:cNvPr id="1" name="TextBox 1"/>
        <cdr:cNvSpPr txBox="1">
          <a:spLocks noChangeArrowheads="1"/>
        </cdr:cNvSpPr>
      </cdr:nvSpPr>
      <cdr:spPr>
        <a:xfrm>
          <a:off x="781050" y="0"/>
          <a:ext cx="5429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0.46025</cdr:x>
      <cdr:y>0.75175</cdr:y>
    </cdr:from>
    <cdr:to>
      <cdr:x>0.634</cdr:x>
      <cdr:y>0.9065</cdr:y>
    </cdr:to>
    <cdr:sp>
      <cdr:nvSpPr>
        <cdr:cNvPr id="2" name="TextBox 2"/>
        <cdr:cNvSpPr txBox="1">
          <a:spLocks noChangeArrowheads="1"/>
        </cdr:cNvSpPr>
      </cdr:nvSpPr>
      <cdr:spPr>
        <a:xfrm>
          <a:off x="1400175" y="0"/>
          <a:ext cx="53340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0.63475</cdr:x>
      <cdr:y>0.6545</cdr:y>
    </cdr:from>
    <cdr:to>
      <cdr:x>0.80675</cdr:x>
      <cdr:y>0.8085</cdr:y>
    </cdr:to>
    <cdr:sp>
      <cdr:nvSpPr>
        <cdr:cNvPr id="3" name="TextBox 3"/>
        <cdr:cNvSpPr txBox="1">
          <a:spLocks noChangeArrowheads="1"/>
        </cdr:cNvSpPr>
      </cdr:nvSpPr>
      <cdr:spPr>
        <a:xfrm>
          <a:off x="1933575" y="0"/>
          <a:ext cx="52387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0.408</cdr:x>
      <cdr:y>0.5435</cdr:y>
    </cdr:from>
    <cdr:to>
      <cdr:x>0.61925</cdr:x>
      <cdr:y>0.72075</cdr:y>
    </cdr:to>
    <cdr:sp>
      <cdr:nvSpPr>
        <cdr:cNvPr id="1" name="TextBox 1"/>
        <cdr:cNvSpPr txBox="1">
          <a:spLocks noChangeArrowheads="1"/>
        </cdr:cNvSpPr>
      </cdr:nvSpPr>
      <cdr:spPr>
        <a:xfrm>
          <a:off x="1123950" y="0"/>
          <a:ext cx="5810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0.206</cdr:x>
      <cdr:y>0.65075</cdr:y>
    </cdr:from>
    <cdr:to>
      <cdr:x>0.40725</cdr:x>
      <cdr:y>0.758</cdr:y>
    </cdr:to>
    <cdr:sp>
      <cdr:nvSpPr>
        <cdr:cNvPr id="2" name="TextBox 2"/>
        <cdr:cNvSpPr txBox="1">
          <a:spLocks noChangeArrowheads="1"/>
        </cdr:cNvSpPr>
      </cdr:nvSpPr>
      <cdr:spPr>
        <a:xfrm>
          <a:off x="561975" y="0"/>
          <a:ext cx="5524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0.61925</cdr:x>
      <cdr:y>0.6735</cdr:y>
    </cdr:from>
    <cdr:to>
      <cdr:x>0.7955</cdr:x>
      <cdr:y>0.758</cdr:y>
    </cdr:to>
    <cdr:sp>
      <cdr:nvSpPr>
        <cdr:cNvPr id="3" name="TextBox 3"/>
        <cdr:cNvSpPr txBox="1">
          <a:spLocks noChangeArrowheads="1"/>
        </cdr:cNvSpPr>
      </cdr:nvSpPr>
      <cdr:spPr>
        <a:xfrm>
          <a:off x="1704975" y="0"/>
          <a:ext cx="48577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0.61725</cdr:y>
    </cdr:from>
    <cdr:to>
      <cdr:x>0.42125</cdr:x>
      <cdr:y>0.72675</cdr:y>
    </cdr:to>
    <cdr:sp>
      <cdr:nvSpPr>
        <cdr:cNvPr id="1" name="TextBox 1"/>
        <cdr:cNvSpPr txBox="1">
          <a:spLocks noChangeArrowheads="1"/>
        </cdr:cNvSpPr>
      </cdr:nvSpPr>
      <cdr:spPr>
        <a:xfrm>
          <a:off x="666750" y="0"/>
          <a:ext cx="6572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0.42125</cdr:x>
      <cdr:y>0.6495</cdr:y>
    </cdr:from>
    <cdr:to>
      <cdr:x>0.619</cdr:x>
      <cdr:y>0.75875</cdr:y>
    </cdr:to>
    <cdr:sp>
      <cdr:nvSpPr>
        <cdr:cNvPr id="2" name="TextBox 2"/>
        <cdr:cNvSpPr txBox="1">
          <a:spLocks noChangeArrowheads="1"/>
        </cdr:cNvSpPr>
      </cdr:nvSpPr>
      <cdr:spPr>
        <a:xfrm>
          <a:off x="1323975" y="0"/>
          <a:ext cx="6191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0.619</cdr:x>
      <cdr:y>0.61725</cdr:y>
    </cdr:from>
    <cdr:to>
      <cdr:x>0.81975</cdr:x>
      <cdr:y>0.72675</cdr:y>
    </cdr:to>
    <cdr:sp>
      <cdr:nvSpPr>
        <cdr:cNvPr id="3" name="TextBox 3"/>
        <cdr:cNvSpPr txBox="1">
          <a:spLocks noChangeArrowheads="1"/>
        </cdr:cNvSpPr>
      </cdr:nvSpPr>
      <cdr:spPr>
        <a:xfrm>
          <a:off x="1943100" y="0"/>
          <a:ext cx="6286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0.41175</cdr:x>
      <cdr:y>0.61075</cdr:y>
    </cdr:from>
    <cdr:to>
      <cdr:x>0.62275</cdr:x>
      <cdr:y>0.8105</cdr:y>
    </cdr:to>
    <cdr:sp>
      <cdr:nvSpPr>
        <cdr:cNvPr id="1" name="TextBox 1"/>
        <cdr:cNvSpPr txBox="1">
          <a:spLocks noChangeArrowheads="1"/>
        </cdr:cNvSpPr>
      </cdr:nvSpPr>
      <cdr:spPr>
        <a:xfrm>
          <a:off x="1133475" y="0"/>
          <a:ext cx="5810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0.20525</cdr:x>
      <cdr:y>0.6535</cdr:y>
    </cdr:from>
    <cdr:to>
      <cdr:x>0.40625</cdr:x>
      <cdr:y>0.7605</cdr:y>
    </cdr:to>
    <cdr:sp>
      <cdr:nvSpPr>
        <cdr:cNvPr id="2" name="TextBox 2"/>
        <cdr:cNvSpPr txBox="1">
          <a:spLocks noChangeArrowheads="1"/>
        </cdr:cNvSpPr>
      </cdr:nvSpPr>
      <cdr:spPr>
        <a:xfrm>
          <a:off x="561975" y="0"/>
          <a:ext cx="5524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0.62</cdr:x>
      <cdr:y>0.61075</cdr:y>
    </cdr:from>
    <cdr:to>
      <cdr:x>0.7965</cdr:x>
      <cdr:y>0.69475</cdr:y>
    </cdr:to>
    <cdr:sp>
      <cdr:nvSpPr>
        <cdr:cNvPr id="3" name="TextBox 3"/>
        <cdr:cNvSpPr txBox="1">
          <a:spLocks noChangeArrowheads="1"/>
        </cdr:cNvSpPr>
      </cdr:nvSpPr>
      <cdr:spPr>
        <a:xfrm>
          <a:off x="1704975" y="0"/>
          <a:ext cx="48577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0.2095</cdr:x>
      <cdr:y>0.64925</cdr:y>
    </cdr:from>
    <cdr:to>
      <cdr:x>0.422</cdr:x>
      <cdr:y>0.76125</cdr:y>
    </cdr:to>
    <cdr:sp>
      <cdr:nvSpPr>
        <cdr:cNvPr id="1" name="TextBox 1"/>
        <cdr:cNvSpPr txBox="1">
          <a:spLocks noChangeArrowheads="1"/>
        </cdr:cNvSpPr>
      </cdr:nvSpPr>
      <cdr:spPr>
        <a:xfrm>
          <a:off x="657225" y="0"/>
          <a:ext cx="6667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0.42125</cdr:x>
      <cdr:y>0.616</cdr:y>
    </cdr:from>
    <cdr:to>
      <cdr:x>0.62</cdr:x>
      <cdr:y>0.72925</cdr:y>
    </cdr:to>
    <cdr:sp>
      <cdr:nvSpPr>
        <cdr:cNvPr id="2" name="TextBox 2"/>
        <cdr:cNvSpPr txBox="1">
          <a:spLocks noChangeArrowheads="1"/>
        </cdr:cNvSpPr>
      </cdr:nvSpPr>
      <cdr:spPr>
        <a:xfrm>
          <a:off x="1323975" y="0"/>
          <a:ext cx="6286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0.619</cdr:x>
      <cdr:y>0.64925</cdr:y>
    </cdr:from>
    <cdr:to>
      <cdr:x>0.81975</cdr:x>
      <cdr:y>0.76125</cdr:y>
    </cdr:to>
    <cdr:sp>
      <cdr:nvSpPr>
        <cdr:cNvPr id="3" name="TextBox 3"/>
        <cdr:cNvSpPr txBox="1">
          <a:spLocks noChangeArrowheads="1"/>
        </cdr:cNvSpPr>
      </cdr:nvSpPr>
      <cdr:spPr>
        <a:xfrm>
          <a:off x="1943100" y="0"/>
          <a:ext cx="6286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89</xdr:row>
      <xdr:rowOff>28575</xdr:rowOff>
    </xdr:from>
    <xdr:to>
      <xdr:col>8</xdr:col>
      <xdr:colOff>295275</xdr:colOff>
      <xdr:row>102</xdr:row>
      <xdr:rowOff>171450</xdr:rowOff>
    </xdr:to>
    <xdr:graphicFrame>
      <xdr:nvGraphicFramePr>
        <xdr:cNvPr id="1" name="Chart 10"/>
        <xdr:cNvGraphicFramePr/>
      </xdr:nvGraphicFramePr>
      <xdr:xfrm>
        <a:off x="0" y="16983075"/>
        <a:ext cx="5781675" cy="2619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103</xdr:row>
      <xdr:rowOff>0</xdr:rowOff>
    </xdr:from>
    <xdr:to>
      <xdr:col>3</xdr:col>
      <xdr:colOff>123825</xdr:colOff>
      <xdr:row>103</xdr:row>
      <xdr:rowOff>0</xdr:rowOff>
    </xdr:to>
    <xdr:graphicFrame>
      <xdr:nvGraphicFramePr>
        <xdr:cNvPr id="2" name="Chart 11"/>
        <xdr:cNvGraphicFramePr/>
      </xdr:nvGraphicFramePr>
      <xdr:xfrm>
        <a:off x="0" y="19621500"/>
        <a:ext cx="2857500" cy="0"/>
      </xdr:xfrm>
      <a:graphic>
        <a:graphicData uri="http://schemas.openxmlformats.org/drawingml/2006/chart">
          <c:chart xmlns:c="http://schemas.openxmlformats.org/drawingml/2006/chart" r:id="rId2"/>
        </a:graphicData>
      </a:graphic>
    </xdr:graphicFrame>
    <xdr:clientData/>
  </xdr:twoCellAnchor>
  <xdr:twoCellAnchor>
    <xdr:from>
      <xdr:col>3</xdr:col>
      <xdr:colOff>161925</xdr:colOff>
      <xdr:row>103</xdr:row>
      <xdr:rowOff>0</xdr:rowOff>
    </xdr:from>
    <xdr:to>
      <xdr:col>8</xdr:col>
      <xdr:colOff>285750</xdr:colOff>
      <xdr:row>103</xdr:row>
      <xdr:rowOff>0</xdr:rowOff>
    </xdr:to>
    <xdr:graphicFrame>
      <xdr:nvGraphicFramePr>
        <xdr:cNvPr id="3" name="Chart 12"/>
        <xdr:cNvGraphicFramePr/>
      </xdr:nvGraphicFramePr>
      <xdr:xfrm>
        <a:off x="2895600" y="19621500"/>
        <a:ext cx="28765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103</xdr:row>
      <xdr:rowOff>0</xdr:rowOff>
    </xdr:from>
    <xdr:to>
      <xdr:col>8</xdr:col>
      <xdr:colOff>190500</xdr:colOff>
      <xdr:row>103</xdr:row>
      <xdr:rowOff>0</xdr:rowOff>
    </xdr:to>
    <xdr:graphicFrame>
      <xdr:nvGraphicFramePr>
        <xdr:cNvPr id="4" name="Chart 13"/>
        <xdr:cNvGraphicFramePr/>
      </xdr:nvGraphicFramePr>
      <xdr:xfrm>
        <a:off x="0" y="19621500"/>
        <a:ext cx="56769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103</xdr:row>
      <xdr:rowOff>0</xdr:rowOff>
    </xdr:from>
    <xdr:to>
      <xdr:col>3</xdr:col>
      <xdr:colOff>28575</xdr:colOff>
      <xdr:row>103</xdr:row>
      <xdr:rowOff>0</xdr:rowOff>
    </xdr:to>
    <xdr:graphicFrame>
      <xdr:nvGraphicFramePr>
        <xdr:cNvPr id="5" name="Chart 14"/>
        <xdr:cNvGraphicFramePr/>
      </xdr:nvGraphicFramePr>
      <xdr:xfrm>
        <a:off x="0" y="19621500"/>
        <a:ext cx="2762250" cy="0"/>
      </xdr:xfrm>
      <a:graphic>
        <a:graphicData uri="http://schemas.openxmlformats.org/drawingml/2006/chart">
          <c:chart xmlns:c="http://schemas.openxmlformats.org/drawingml/2006/chart" r:id="rId5"/>
        </a:graphicData>
      </a:graphic>
    </xdr:graphicFrame>
    <xdr:clientData/>
  </xdr:twoCellAnchor>
  <xdr:twoCellAnchor>
    <xdr:from>
      <xdr:col>3</xdr:col>
      <xdr:colOff>47625</xdr:colOff>
      <xdr:row>103</xdr:row>
      <xdr:rowOff>0</xdr:rowOff>
    </xdr:from>
    <xdr:to>
      <xdr:col>9</xdr:col>
      <xdr:colOff>19050</xdr:colOff>
      <xdr:row>103</xdr:row>
      <xdr:rowOff>0</xdr:rowOff>
    </xdr:to>
    <xdr:graphicFrame>
      <xdr:nvGraphicFramePr>
        <xdr:cNvPr id="6" name="Chart 15"/>
        <xdr:cNvGraphicFramePr/>
      </xdr:nvGraphicFramePr>
      <xdr:xfrm>
        <a:off x="2781300" y="19621500"/>
        <a:ext cx="3143250" cy="0"/>
      </xdr:xfrm>
      <a:graphic>
        <a:graphicData uri="http://schemas.openxmlformats.org/drawingml/2006/chart">
          <c:chart xmlns:c="http://schemas.openxmlformats.org/drawingml/2006/chart" r:id="rId6"/>
        </a:graphicData>
      </a:graphic>
    </xdr:graphicFrame>
    <xdr:clientData/>
  </xdr:twoCellAnchor>
  <xdr:twoCellAnchor>
    <xdr:from>
      <xdr:col>0</xdr:col>
      <xdr:colOff>104775</xdr:colOff>
      <xdr:row>103</xdr:row>
      <xdr:rowOff>0</xdr:rowOff>
    </xdr:from>
    <xdr:to>
      <xdr:col>8</xdr:col>
      <xdr:colOff>295275</xdr:colOff>
      <xdr:row>103</xdr:row>
      <xdr:rowOff>0</xdr:rowOff>
    </xdr:to>
    <xdr:graphicFrame>
      <xdr:nvGraphicFramePr>
        <xdr:cNvPr id="7" name="Chart 16"/>
        <xdr:cNvGraphicFramePr/>
      </xdr:nvGraphicFramePr>
      <xdr:xfrm>
        <a:off x="104775" y="19621500"/>
        <a:ext cx="56769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103</xdr:row>
      <xdr:rowOff>0</xdr:rowOff>
    </xdr:from>
    <xdr:to>
      <xdr:col>3</xdr:col>
      <xdr:colOff>28575</xdr:colOff>
      <xdr:row>103</xdr:row>
      <xdr:rowOff>0</xdr:rowOff>
    </xdr:to>
    <xdr:graphicFrame>
      <xdr:nvGraphicFramePr>
        <xdr:cNvPr id="8" name="Chart 17"/>
        <xdr:cNvGraphicFramePr/>
      </xdr:nvGraphicFramePr>
      <xdr:xfrm>
        <a:off x="0" y="19621500"/>
        <a:ext cx="2762250" cy="0"/>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103</xdr:row>
      <xdr:rowOff>0</xdr:rowOff>
    </xdr:from>
    <xdr:to>
      <xdr:col>8</xdr:col>
      <xdr:colOff>295275</xdr:colOff>
      <xdr:row>103</xdr:row>
      <xdr:rowOff>0</xdr:rowOff>
    </xdr:to>
    <xdr:graphicFrame>
      <xdr:nvGraphicFramePr>
        <xdr:cNvPr id="9" name="Chart 18"/>
        <xdr:cNvGraphicFramePr/>
      </xdr:nvGraphicFramePr>
      <xdr:xfrm>
        <a:off x="2733675" y="19621500"/>
        <a:ext cx="304800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103</xdr:row>
      <xdr:rowOff>0</xdr:rowOff>
    </xdr:from>
    <xdr:to>
      <xdr:col>9</xdr:col>
      <xdr:colOff>0</xdr:colOff>
      <xdr:row>103</xdr:row>
      <xdr:rowOff>0</xdr:rowOff>
    </xdr:to>
    <xdr:graphicFrame>
      <xdr:nvGraphicFramePr>
        <xdr:cNvPr id="10" name="Chart 19"/>
        <xdr:cNvGraphicFramePr/>
      </xdr:nvGraphicFramePr>
      <xdr:xfrm>
        <a:off x="123825" y="19621500"/>
        <a:ext cx="578167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103</xdr:row>
      <xdr:rowOff>0</xdr:rowOff>
    </xdr:from>
    <xdr:to>
      <xdr:col>3</xdr:col>
      <xdr:colOff>28575</xdr:colOff>
      <xdr:row>103</xdr:row>
      <xdr:rowOff>0</xdr:rowOff>
    </xdr:to>
    <xdr:graphicFrame>
      <xdr:nvGraphicFramePr>
        <xdr:cNvPr id="11" name="Chart 20"/>
        <xdr:cNvGraphicFramePr/>
      </xdr:nvGraphicFramePr>
      <xdr:xfrm>
        <a:off x="0" y="19621500"/>
        <a:ext cx="2762250" cy="0"/>
      </xdr:xfrm>
      <a:graphic>
        <a:graphicData uri="http://schemas.openxmlformats.org/drawingml/2006/chart">
          <c:chart xmlns:c="http://schemas.openxmlformats.org/drawingml/2006/chart" r:id="rId11"/>
        </a:graphicData>
      </a:graphic>
    </xdr:graphicFrame>
    <xdr:clientData/>
  </xdr:twoCellAnchor>
  <xdr:twoCellAnchor>
    <xdr:from>
      <xdr:col>3</xdr:col>
      <xdr:colOff>47625</xdr:colOff>
      <xdr:row>103</xdr:row>
      <xdr:rowOff>0</xdr:rowOff>
    </xdr:from>
    <xdr:to>
      <xdr:col>9</xdr:col>
      <xdr:colOff>19050</xdr:colOff>
      <xdr:row>103</xdr:row>
      <xdr:rowOff>0</xdr:rowOff>
    </xdr:to>
    <xdr:graphicFrame>
      <xdr:nvGraphicFramePr>
        <xdr:cNvPr id="12" name="Chart 21"/>
        <xdr:cNvGraphicFramePr/>
      </xdr:nvGraphicFramePr>
      <xdr:xfrm>
        <a:off x="2781300" y="19621500"/>
        <a:ext cx="3143250" cy="0"/>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103</xdr:row>
      <xdr:rowOff>0</xdr:rowOff>
    </xdr:from>
    <xdr:to>
      <xdr:col>8</xdr:col>
      <xdr:colOff>295275</xdr:colOff>
      <xdr:row>103</xdr:row>
      <xdr:rowOff>0</xdr:rowOff>
    </xdr:to>
    <xdr:graphicFrame>
      <xdr:nvGraphicFramePr>
        <xdr:cNvPr id="13" name="Chart 22"/>
        <xdr:cNvGraphicFramePr/>
      </xdr:nvGraphicFramePr>
      <xdr:xfrm>
        <a:off x="104775" y="19621500"/>
        <a:ext cx="567690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128</xdr:row>
      <xdr:rowOff>66675</xdr:rowOff>
    </xdr:from>
    <xdr:to>
      <xdr:col>8</xdr:col>
      <xdr:colOff>295275</xdr:colOff>
      <xdr:row>139</xdr:row>
      <xdr:rowOff>152400</xdr:rowOff>
    </xdr:to>
    <xdr:graphicFrame>
      <xdr:nvGraphicFramePr>
        <xdr:cNvPr id="14" name="Chart 25"/>
        <xdr:cNvGraphicFramePr/>
      </xdr:nvGraphicFramePr>
      <xdr:xfrm>
        <a:off x="104775" y="24745950"/>
        <a:ext cx="5676900" cy="218122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150</xdr:row>
      <xdr:rowOff>0</xdr:rowOff>
    </xdr:from>
    <xdr:to>
      <xdr:col>8</xdr:col>
      <xdr:colOff>257175</xdr:colOff>
      <xdr:row>162</xdr:row>
      <xdr:rowOff>171450</xdr:rowOff>
    </xdr:to>
    <xdr:graphicFrame>
      <xdr:nvGraphicFramePr>
        <xdr:cNvPr id="15" name="Chart 30"/>
        <xdr:cNvGraphicFramePr/>
      </xdr:nvGraphicFramePr>
      <xdr:xfrm>
        <a:off x="0" y="28870275"/>
        <a:ext cx="5743575" cy="2428875"/>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189</xdr:row>
      <xdr:rowOff>0</xdr:rowOff>
    </xdr:from>
    <xdr:to>
      <xdr:col>3</xdr:col>
      <xdr:colOff>28575</xdr:colOff>
      <xdr:row>189</xdr:row>
      <xdr:rowOff>0</xdr:rowOff>
    </xdr:to>
    <xdr:graphicFrame>
      <xdr:nvGraphicFramePr>
        <xdr:cNvPr id="16" name="Chart 31"/>
        <xdr:cNvGraphicFramePr/>
      </xdr:nvGraphicFramePr>
      <xdr:xfrm>
        <a:off x="0" y="36271200"/>
        <a:ext cx="2762250" cy="0"/>
      </xdr:xfrm>
      <a:graphic>
        <a:graphicData uri="http://schemas.openxmlformats.org/drawingml/2006/chart">
          <c:chart xmlns:c="http://schemas.openxmlformats.org/drawingml/2006/chart" r:id="rId16"/>
        </a:graphicData>
      </a:graphic>
    </xdr:graphicFrame>
    <xdr:clientData/>
  </xdr:twoCellAnchor>
  <xdr:twoCellAnchor>
    <xdr:from>
      <xdr:col>3</xdr:col>
      <xdr:colOff>47625</xdr:colOff>
      <xdr:row>189</xdr:row>
      <xdr:rowOff>0</xdr:rowOff>
    </xdr:from>
    <xdr:to>
      <xdr:col>9</xdr:col>
      <xdr:colOff>19050</xdr:colOff>
      <xdr:row>189</xdr:row>
      <xdr:rowOff>0</xdr:rowOff>
    </xdr:to>
    <xdr:graphicFrame>
      <xdr:nvGraphicFramePr>
        <xdr:cNvPr id="17" name="Chart 32"/>
        <xdr:cNvGraphicFramePr/>
      </xdr:nvGraphicFramePr>
      <xdr:xfrm>
        <a:off x="2781300" y="36271200"/>
        <a:ext cx="314325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189</xdr:row>
      <xdr:rowOff>0</xdr:rowOff>
    </xdr:from>
    <xdr:to>
      <xdr:col>9</xdr:col>
      <xdr:colOff>0</xdr:colOff>
      <xdr:row>189</xdr:row>
      <xdr:rowOff>0</xdr:rowOff>
    </xdr:to>
    <xdr:graphicFrame>
      <xdr:nvGraphicFramePr>
        <xdr:cNvPr id="18" name="Chart 33"/>
        <xdr:cNvGraphicFramePr/>
      </xdr:nvGraphicFramePr>
      <xdr:xfrm>
        <a:off x="123825" y="36271200"/>
        <a:ext cx="5781675" cy="0"/>
      </xdr:xfrm>
      <a:graphic>
        <a:graphicData uri="http://schemas.openxmlformats.org/drawingml/2006/chart">
          <c:chart xmlns:c="http://schemas.openxmlformats.org/drawingml/2006/chart" r:id="rId18"/>
        </a:graphicData>
      </a:graphic>
    </xdr:graphicFrame>
    <xdr:clientData/>
  </xdr:twoCellAnchor>
  <xdr:twoCellAnchor>
    <xdr:from>
      <xdr:col>0</xdr:col>
      <xdr:colOff>142875</xdr:colOff>
      <xdr:row>54</xdr:row>
      <xdr:rowOff>104775</xdr:rowOff>
    </xdr:from>
    <xdr:to>
      <xdr:col>9</xdr:col>
      <xdr:colOff>0</xdr:colOff>
      <xdr:row>68</xdr:row>
      <xdr:rowOff>38100</xdr:rowOff>
    </xdr:to>
    <xdr:graphicFrame>
      <xdr:nvGraphicFramePr>
        <xdr:cNvPr id="19" name="Chart 36"/>
        <xdr:cNvGraphicFramePr/>
      </xdr:nvGraphicFramePr>
      <xdr:xfrm>
        <a:off x="142875" y="10391775"/>
        <a:ext cx="5762625" cy="2600325"/>
      </xdr:xfrm>
      <a:graphic>
        <a:graphicData uri="http://schemas.openxmlformats.org/drawingml/2006/chart">
          <c:chart xmlns:c="http://schemas.openxmlformats.org/drawingml/2006/chart" r:id="rId19"/>
        </a:graphicData>
      </a:graphic>
    </xdr:graphicFrame>
    <xdr:clientData/>
  </xdr:twoCellAnchor>
  <xdr:twoCellAnchor>
    <xdr:from>
      <xdr:col>0</xdr:col>
      <xdr:colOff>942975</xdr:colOff>
      <xdr:row>3</xdr:row>
      <xdr:rowOff>66675</xdr:rowOff>
    </xdr:from>
    <xdr:to>
      <xdr:col>7</xdr:col>
      <xdr:colOff>295275</xdr:colOff>
      <xdr:row>5</xdr:row>
      <xdr:rowOff>104775</xdr:rowOff>
    </xdr:to>
    <xdr:sp>
      <xdr:nvSpPr>
        <xdr:cNvPr id="20" name="AutoShape 37"/>
        <xdr:cNvSpPr>
          <a:spLocks/>
        </xdr:cNvSpPr>
      </xdr:nvSpPr>
      <xdr:spPr>
        <a:xfrm>
          <a:off x="942975" y="638175"/>
          <a:ext cx="4343400" cy="419100"/>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Indicatori</a:t>
          </a:r>
        </a:p>
      </xdr:txBody>
    </xdr:sp>
    <xdr:clientData/>
  </xdr:twoCellAnchor>
  <xdr:twoCellAnchor>
    <xdr:from>
      <xdr:col>0</xdr:col>
      <xdr:colOff>942975</xdr:colOff>
      <xdr:row>3</xdr:row>
      <xdr:rowOff>66675</xdr:rowOff>
    </xdr:from>
    <xdr:to>
      <xdr:col>7</xdr:col>
      <xdr:colOff>295275</xdr:colOff>
      <xdr:row>5</xdr:row>
      <xdr:rowOff>104775</xdr:rowOff>
    </xdr:to>
    <xdr:sp>
      <xdr:nvSpPr>
        <xdr:cNvPr id="21" name="AutoShape 37"/>
        <xdr:cNvSpPr>
          <a:spLocks/>
        </xdr:cNvSpPr>
      </xdr:nvSpPr>
      <xdr:spPr>
        <a:xfrm>
          <a:off x="942975" y="638175"/>
          <a:ext cx="4343400" cy="419100"/>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Indicatori</a:t>
          </a:r>
        </a:p>
      </xdr:txBody>
    </xdr:sp>
    <xdr:clientData/>
  </xdr:twoCellAnchor>
  <xdr:twoCellAnchor>
    <xdr:from>
      <xdr:col>3</xdr:col>
      <xdr:colOff>247650</xdr:colOff>
      <xdr:row>29</xdr:row>
      <xdr:rowOff>66675</xdr:rowOff>
    </xdr:from>
    <xdr:to>
      <xdr:col>8</xdr:col>
      <xdr:colOff>285750</xdr:colOff>
      <xdr:row>41</xdr:row>
      <xdr:rowOff>76200</xdr:rowOff>
    </xdr:to>
    <xdr:graphicFrame>
      <xdr:nvGraphicFramePr>
        <xdr:cNvPr id="22" name="Chart 43"/>
        <xdr:cNvGraphicFramePr/>
      </xdr:nvGraphicFramePr>
      <xdr:xfrm>
        <a:off x="2981325" y="5591175"/>
        <a:ext cx="2790825" cy="2295525"/>
      </xdr:xfrm>
      <a:graphic>
        <a:graphicData uri="http://schemas.openxmlformats.org/drawingml/2006/chart">
          <c:chart xmlns:c="http://schemas.openxmlformats.org/drawingml/2006/chart" r:id="rId20"/>
        </a:graphicData>
      </a:graphic>
    </xdr:graphicFrame>
    <xdr:clientData/>
  </xdr:twoCellAnchor>
  <xdr:twoCellAnchor>
    <xdr:from>
      <xdr:col>0</xdr:col>
      <xdr:colOff>19050</xdr:colOff>
      <xdr:row>41</xdr:row>
      <xdr:rowOff>9525</xdr:rowOff>
    </xdr:from>
    <xdr:to>
      <xdr:col>3</xdr:col>
      <xdr:colOff>161925</xdr:colOff>
      <xdr:row>53</xdr:row>
      <xdr:rowOff>171450</xdr:rowOff>
    </xdr:to>
    <xdr:graphicFrame>
      <xdr:nvGraphicFramePr>
        <xdr:cNvPr id="23" name="Chart 44"/>
        <xdr:cNvGraphicFramePr/>
      </xdr:nvGraphicFramePr>
      <xdr:xfrm>
        <a:off x="19050" y="7820025"/>
        <a:ext cx="2876550" cy="2447925"/>
      </xdr:xfrm>
      <a:graphic>
        <a:graphicData uri="http://schemas.openxmlformats.org/drawingml/2006/chart">
          <c:chart xmlns:c="http://schemas.openxmlformats.org/drawingml/2006/chart" r:id="rId21"/>
        </a:graphicData>
      </a:graphic>
    </xdr:graphicFrame>
    <xdr:clientData/>
  </xdr:twoCellAnchor>
  <xdr:twoCellAnchor>
    <xdr:from>
      <xdr:col>3</xdr:col>
      <xdr:colOff>180975</xdr:colOff>
      <xdr:row>41</xdr:row>
      <xdr:rowOff>9525</xdr:rowOff>
    </xdr:from>
    <xdr:to>
      <xdr:col>8</xdr:col>
      <xdr:colOff>276225</xdr:colOff>
      <xdr:row>53</xdr:row>
      <xdr:rowOff>171450</xdr:rowOff>
    </xdr:to>
    <xdr:graphicFrame>
      <xdr:nvGraphicFramePr>
        <xdr:cNvPr id="24" name="Chart 45"/>
        <xdr:cNvGraphicFramePr/>
      </xdr:nvGraphicFramePr>
      <xdr:xfrm>
        <a:off x="2914650" y="7820025"/>
        <a:ext cx="2847975" cy="2447925"/>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77</xdr:row>
      <xdr:rowOff>104775</xdr:rowOff>
    </xdr:from>
    <xdr:to>
      <xdr:col>3</xdr:col>
      <xdr:colOff>57150</xdr:colOff>
      <xdr:row>89</xdr:row>
      <xdr:rowOff>114300</xdr:rowOff>
    </xdr:to>
    <xdr:graphicFrame>
      <xdr:nvGraphicFramePr>
        <xdr:cNvPr id="25" name="Chart 46"/>
        <xdr:cNvGraphicFramePr/>
      </xdr:nvGraphicFramePr>
      <xdr:xfrm>
        <a:off x="0" y="14773275"/>
        <a:ext cx="2790825" cy="2295525"/>
      </xdr:xfrm>
      <a:graphic>
        <a:graphicData uri="http://schemas.openxmlformats.org/drawingml/2006/chart">
          <c:chart xmlns:c="http://schemas.openxmlformats.org/drawingml/2006/chart" r:id="rId23"/>
        </a:graphicData>
      </a:graphic>
    </xdr:graphicFrame>
    <xdr:clientData/>
  </xdr:twoCellAnchor>
  <xdr:twoCellAnchor>
    <xdr:from>
      <xdr:col>3</xdr:col>
      <xdr:colOff>66675</xdr:colOff>
      <xdr:row>77</xdr:row>
      <xdr:rowOff>104775</xdr:rowOff>
    </xdr:from>
    <xdr:to>
      <xdr:col>8</xdr:col>
      <xdr:colOff>276225</xdr:colOff>
      <xdr:row>89</xdr:row>
      <xdr:rowOff>114300</xdr:rowOff>
    </xdr:to>
    <xdr:graphicFrame>
      <xdr:nvGraphicFramePr>
        <xdr:cNvPr id="26" name="Chart 47"/>
        <xdr:cNvGraphicFramePr/>
      </xdr:nvGraphicFramePr>
      <xdr:xfrm>
        <a:off x="2800350" y="14773275"/>
        <a:ext cx="2962275" cy="229552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116</xdr:row>
      <xdr:rowOff>95250</xdr:rowOff>
    </xdr:from>
    <xdr:to>
      <xdr:col>3</xdr:col>
      <xdr:colOff>104775</xdr:colOff>
      <xdr:row>128</xdr:row>
      <xdr:rowOff>104775</xdr:rowOff>
    </xdr:to>
    <xdr:graphicFrame>
      <xdr:nvGraphicFramePr>
        <xdr:cNvPr id="27" name="Chart 48"/>
        <xdr:cNvGraphicFramePr/>
      </xdr:nvGraphicFramePr>
      <xdr:xfrm>
        <a:off x="0" y="22488525"/>
        <a:ext cx="2838450" cy="2295525"/>
      </xdr:xfrm>
      <a:graphic>
        <a:graphicData uri="http://schemas.openxmlformats.org/drawingml/2006/chart">
          <c:chart xmlns:c="http://schemas.openxmlformats.org/drawingml/2006/chart" r:id="rId25"/>
        </a:graphicData>
      </a:graphic>
    </xdr:graphicFrame>
    <xdr:clientData/>
  </xdr:twoCellAnchor>
  <xdr:twoCellAnchor>
    <xdr:from>
      <xdr:col>3</xdr:col>
      <xdr:colOff>85725</xdr:colOff>
      <xdr:row>116</xdr:row>
      <xdr:rowOff>104775</xdr:rowOff>
    </xdr:from>
    <xdr:to>
      <xdr:col>8</xdr:col>
      <xdr:colOff>285750</xdr:colOff>
      <xdr:row>128</xdr:row>
      <xdr:rowOff>114300</xdr:rowOff>
    </xdr:to>
    <xdr:graphicFrame>
      <xdr:nvGraphicFramePr>
        <xdr:cNvPr id="28" name="Chart 49"/>
        <xdr:cNvGraphicFramePr/>
      </xdr:nvGraphicFramePr>
      <xdr:xfrm>
        <a:off x="2819400" y="22498050"/>
        <a:ext cx="2952750" cy="2295525"/>
      </xdr:xfrm>
      <a:graphic>
        <a:graphicData uri="http://schemas.openxmlformats.org/drawingml/2006/chart">
          <c:chart xmlns:c="http://schemas.openxmlformats.org/drawingml/2006/chart" r:id="rId26"/>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66675</xdr:rowOff>
    </xdr:from>
    <xdr:to>
      <xdr:col>8</xdr:col>
      <xdr:colOff>47625</xdr:colOff>
      <xdr:row>2</xdr:row>
      <xdr:rowOff>104775</xdr:rowOff>
    </xdr:to>
    <xdr:sp>
      <xdr:nvSpPr>
        <xdr:cNvPr id="1" name="AutoShape 2"/>
        <xdr:cNvSpPr>
          <a:spLocks/>
        </xdr:cNvSpPr>
      </xdr:nvSpPr>
      <xdr:spPr>
        <a:xfrm>
          <a:off x="581025" y="66675"/>
          <a:ext cx="4343400" cy="419100"/>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Conclusioni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0</xdr:row>
      <xdr:rowOff>0</xdr:rowOff>
    </xdr:from>
    <xdr:to>
      <xdr:col>6</xdr:col>
      <xdr:colOff>19050</xdr:colOff>
      <xdr:row>1</xdr:row>
      <xdr:rowOff>104775</xdr:rowOff>
    </xdr:to>
    <xdr:sp>
      <xdr:nvSpPr>
        <xdr:cNvPr id="1" name="AutoShape 1"/>
        <xdr:cNvSpPr>
          <a:spLocks/>
        </xdr:cNvSpPr>
      </xdr:nvSpPr>
      <xdr:spPr>
        <a:xfrm>
          <a:off x="1133475" y="0"/>
          <a:ext cx="3571875" cy="314325"/>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Definizione  della  Mission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0</xdr:row>
      <xdr:rowOff>0</xdr:rowOff>
    </xdr:from>
    <xdr:to>
      <xdr:col>5</xdr:col>
      <xdr:colOff>600075</xdr:colOff>
      <xdr:row>0</xdr:row>
      <xdr:rowOff>0</xdr:rowOff>
    </xdr:to>
    <xdr:sp>
      <xdr:nvSpPr>
        <xdr:cNvPr id="1" name="AutoShape 9"/>
        <xdr:cNvSpPr>
          <a:spLocks/>
        </xdr:cNvSpPr>
      </xdr:nvSpPr>
      <xdr:spPr>
        <a:xfrm>
          <a:off x="876300" y="0"/>
          <a:ext cx="4343400" cy="0"/>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Determinazione e ripartizione
del valore aggiunto netto</a:t>
          </a:r>
        </a:p>
      </xdr:txBody>
    </xdr:sp>
    <xdr:clientData/>
  </xdr:twoCellAnchor>
  <xdr:twoCellAnchor>
    <xdr:from>
      <xdr:col>0</xdr:col>
      <xdr:colOff>876300</xdr:colOff>
      <xdr:row>0</xdr:row>
      <xdr:rowOff>0</xdr:rowOff>
    </xdr:from>
    <xdr:to>
      <xdr:col>5</xdr:col>
      <xdr:colOff>600075</xdr:colOff>
      <xdr:row>0</xdr:row>
      <xdr:rowOff>0</xdr:rowOff>
    </xdr:to>
    <xdr:sp>
      <xdr:nvSpPr>
        <xdr:cNvPr id="2" name="AutoShape 9"/>
        <xdr:cNvSpPr>
          <a:spLocks/>
        </xdr:cNvSpPr>
      </xdr:nvSpPr>
      <xdr:spPr>
        <a:xfrm>
          <a:off x="876300" y="0"/>
          <a:ext cx="4343400" cy="0"/>
        </a:xfrm>
        <a:prstGeom prst="rect"/>
        <a:noFill/>
      </xdr:spPr>
      <xdr:txBody>
        <a:bodyPr fromWordArt="1" wrap="none" lIns="91440" tIns="45720" rIns="91440" bIns="45720">
          <a:prstTxWarp prst="textPlain">
            <a:avLst>
              <a:gd name="adj" fmla="val 50000"/>
            </a:avLst>
          </a:prstTxWarp>
        </a:bodyPr>
        <a:p>
          <a:pPr algn="ctr"/>
          <a:r>
            <a:rPr sz="1800" kern="10" spc="0">
              <a:ln w="9525" cmpd="sng">
                <a:noFill/>
              </a:ln>
              <a:solidFill>
                <a:srgbClr val="00CCFF"/>
              </a:solidFill>
              <a:effectLst>
                <a:outerShdw dist="35921" dir="2700000" algn="ctr">
                  <a:srgbClr val="C0C0C0">
                    <a:alpha val="100000"/>
                  </a:srgbClr>
                </a:outerShdw>
              </a:effectLst>
              <a:latin typeface="Impact"/>
              <a:cs typeface="Impact"/>
            </a:rPr>
            <a:t>Determinazione e ripartizione
del valore aggiunto netto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5</xdr:col>
      <xdr:colOff>838200</xdr:colOff>
      <xdr:row>45</xdr:row>
      <xdr:rowOff>47625</xdr:rowOff>
    </xdr:to>
    <xdr:graphicFrame>
      <xdr:nvGraphicFramePr>
        <xdr:cNvPr id="1" name="Chart 3"/>
        <xdr:cNvGraphicFramePr/>
      </xdr:nvGraphicFramePr>
      <xdr:xfrm>
        <a:off x="0" y="4829175"/>
        <a:ext cx="5514975" cy="29622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70</xdr:row>
      <xdr:rowOff>28575</xdr:rowOff>
    </xdr:from>
    <xdr:to>
      <xdr:col>1</xdr:col>
      <xdr:colOff>457200</xdr:colOff>
      <xdr:row>78</xdr:row>
      <xdr:rowOff>76200</xdr:rowOff>
    </xdr:to>
    <xdr:graphicFrame>
      <xdr:nvGraphicFramePr>
        <xdr:cNvPr id="1" name="Chart 16"/>
        <xdr:cNvGraphicFramePr/>
      </xdr:nvGraphicFramePr>
      <xdr:xfrm>
        <a:off x="28575" y="13868400"/>
        <a:ext cx="2724150" cy="1571625"/>
      </xdr:xfrm>
      <a:graphic>
        <a:graphicData uri="http://schemas.openxmlformats.org/drawingml/2006/chart">
          <c:chart xmlns:c="http://schemas.openxmlformats.org/drawingml/2006/chart" r:id="rId1"/>
        </a:graphicData>
      </a:graphic>
    </xdr:graphicFrame>
    <xdr:clientData/>
  </xdr:twoCellAnchor>
  <xdr:twoCellAnchor>
    <xdr:from>
      <xdr:col>1</xdr:col>
      <xdr:colOff>495300</xdr:colOff>
      <xdr:row>70</xdr:row>
      <xdr:rowOff>19050</xdr:rowOff>
    </xdr:from>
    <xdr:to>
      <xdr:col>5</xdr:col>
      <xdr:colOff>771525</xdr:colOff>
      <xdr:row>78</xdr:row>
      <xdr:rowOff>171450</xdr:rowOff>
    </xdr:to>
    <xdr:graphicFrame>
      <xdr:nvGraphicFramePr>
        <xdr:cNvPr id="2" name="Chart 17"/>
        <xdr:cNvGraphicFramePr/>
      </xdr:nvGraphicFramePr>
      <xdr:xfrm>
        <a:off x="2790825" y="13858875"/>
        <a:ext cx="2800350" cy="1676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79</xdr:row>
      <xdr:rowOff>0</xdr:rowOff>
    </xdr:from>
    <xdr:to>
      <xdr:col>1</xdr:col>
      <xdr:colOff>504825</xdr:colOff>
      <xdr:row>87</xdr:row>
      <xdr:rowOff>123825</xdr:rowOff>
    </xdr:to>
    <xdr:graphicFrame>
      <xdr:nvGraphicFramePr>
        <xdr:cNvPr id="3" name="Chart 18"/>
        <xdr:cNvGraphicFramePr/>
      </xdr:nvGraphicFramePr>
      <xdr:xfrm>
        <a:off x="38100" y="15554325"/>
        <a:ext cx="2762250" cy="1647825"/>
      </xdr:xfrm>
      <a:graphic>
        <a:graphicData uri="http://schemas.openxmlformats.org/drawingml/2006/chart">
          <c:chart xmlns:c="http://schemas.openxmlformats.org/drawingml/2006/chart" r:id="rId3"/>
        </a:graphicData>
      </a:graphic>
    </xdr:graphicFrame>
    <xdr:clientData/>
  </xdr:twoCellAnchor>
  <xdr:twoCellAnchor>
    <xdr:from>
      <xdr:col>1</xdr:col>
      <xdr:colOff>533400</xdr:colOff>
      <xdr:row>78</xdr:row>
      <xdr:rowOff>161925</xdr:rowOff>
    </xdr:from>
    <xdr:to>
      <xdr:col>5</xdr:col>
      <xdr:colOff>790575</xdr:colOff>
      <xdr:row>87</xdr:row>
      <xdr:rowOff>180975</xdr:rowOff>
    </xdr:to>
    <xdr:graphicFrame>
      <xdr:nvGraphicFramePr>
        <xdr:cNvPr id="4" name="Chart 19"/>
        <xdr:cNvGraphicFramePr/>
      </xdr:nvGraphicFramePr>
      <xdr:xfrm>
        <a:off x="2828925" y="15525750"/>
        <a:ext cx="2781300" cy="1733550"/>
      </xdr:xfrm>
      <a:graphic>
        <a:graphicData uri="http://schemas.openxmlformats.org/drawingml/2006/chart">
          <c:chart xmlns:c="http://schemas.openxmlformats.org/drawingml/2006/chart" r:id="rId4"/>
        </a:graphicData>
      </a:graphic>
    </xdr:graphicFrame>
    <xdr:clientData/>
  </xdr:twoCellAnchor>
  <xdr:twoCellAnchor>
    <xdr:from>
      <xdr:col>0</xdr:col>
      <xdr:colOff>28575</xdr:colOff>
      <xdr:row>95</xdr:row>
      <xdr:rowOff>38100</xdr:rowOff>
    </xdr:from>
    <xdr:to>
      <xdr:col>1</xdr:col>
      <xdr:colOff>533400</xdr:colOff>
      <xdr:row>105</xdr:row>
      <xdr:rowOff>104775</xdr:rowOff>
    </xdr:to>
    <xdr:graphicFrame>
      <xdr:nvGraphicFramePr>
        <xdr:cNvPr id="5" name="Chart 20"/>
        <xdr:cNvGraphicFramePr/>
      </xdr:nvGraphicFramePr>
      <xdr:xfrm>
        <a:off x="28575" y="18640425"/>
        <a:ext cx="2800350" cy="1971675"/>
      </xdr:xfrm>
      <a:graphic>
        <a:graphicData uri="http://schemas.openxmlformats.org/drawingml/2006/chart">
          <c:chart xmlns:c="http://schemas.openxmlformats.org/drawingml/2006/chart" r:id="rId5"/>
        </a:graphicData>
      </a:graphic>
    </xdr:graphicFrame>
    <xdr:clientData/>
  </xdr:twoCellAnchor>
  <xdr:twoCellAnchor>
    <xdr:from>
      <xdr:col>1</xdr:col>
      <xdr:colOff>581025</xdr:colOff>
      <xdr:row>95</xdr:row>
      <xdr:rowOff>19050</xdr:rowOff>
    </xdr:from>
    <xdr:to>
      <xdr:col>5</xdr:col>
      <xdr:colOff>800100</xdr:colOff>
      <xdr:row>105</xdr:row>
      <xdr:rowOff>76200</xdr:rowOff>
    </xdr:to>
    <xdr:graphicFrame>
      <xdr:nvGraphicFramePr>
        <xdr:cNvPr id="6" name="Chart 21"/>
        <xdr:cNvGraphicFramePr/>
      </xdr:nvGraphicFramePr>
      <xdr:xfrm>
        <a:off x="2876550" y="18621375"/>
        <a:ext cx="2743200" cy="1962150"/>
      </xdr:xfrm>
      <a:graphic>
        <a:graphicData uri="http://schemas.openxmlformats.org/drawingml/2006/chart">
          <c:chart xmlns:c="http://schemas.openxmlformats.org/drawingml/2006/chart" r:id="rId6"/>
        </a:graphicData>
      </a:graphic>
    </xdr:graphicFrame>
    <xdr:clientData/>
  </xdr:twoCellAnchor>
  <xdr:twoCellAnchor>
    <xdr:from>
      <xdr:col>0</xdr:col>
      <xdr:colOff>9525</xdr:colOff>
      <xdr:row>106</xdr:row>
      <xdr:rowOff>0</xdr:rowOff>
    </xdr:from>
    <xdr:to>
      <xdr:col>1</xdr:col>
      <xdr:colOff>533400</xdr:colOff>
      <xdr:row>117</xdr:row>
      <xdr:rowOff>0</xdr:rowOff>
    </xdr:to>
    <xdr:graphicFrame>
      <xdr:nvGraphicFramePr>
        <xdr:cNvPr id="7" name="Chart 22"/>
        <xdr:cNvGraphicFramePr/>
      </xdr:nvGraphicFramePr>
      <xdr:xfrm>
        <a:off x="9525" y="20669250"/>
        <a:ext cx="2819400" cy="1781175"/>
      </xdr:xfrm>
      <a:graphic>
        <a:graphicData uri="http://schemas.openxmlformats.org/drawingml/2006/chart">
          <c:chart xmlns:c="http://schemas.openxmlformats.org/drawingml/2006/chart" r:id="rId7"/>
        </a:graphicData>
      </a:graphic>
    </xdr:graphicFrame>
    <xdr:clientData/>
  </xdr:twoCellAnchor>
  <xdr:twoCellAnchor>
    <xdr:from>
      <xdr:col>1</xdr:col>
      <xdr:colOff>552450</xdr:colOff>
      <xdr:row>105</xdr:row>
      <xdr:rowOff>104775</xdr:rowOff>
    </xdr:from>
    <xdr:to>
      <xdr:col>5</xdr:col>
      <xdr:colOff>800100</xdr:colOff>
      <xdr:row>117</xdr:row>
      <xdr:rowOff>66675</xdr:rowOff>
    </xdr:to>
    <xdr:graphicFrame>
      <xdr:nvGraphicFramePr>
        <xdr:cNvPr id="8" name="Chart 23"/>
        <xdr:cNvGraphicFramePr/>
      </xdr:nvGraphicFramePr>
      <xdr:xfrm>
        <a:off x="2847975" y="20612100"/>
        <a:ext cx="2771775" cy="19050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118</xdr:row>
      <xdr:rowOff>47625</xdr:rowOff>
    </xdr:from>
    <xdr:to>
      <xdr:col>5</xdr:col>
      <xdr:colOff>771525</xdr:colOff>
      <xdr:row>137</xdr:row>
      <xdr:rowOff>0</xdr:rowOff>
    </xdr:to>
    <xdr:graphicFrame>
      <xdr:nvGraphicFramePr>
        <xdr:cNvPr id="9" name="Chart 25"/>
        <xdr:cNvGraphicFramePr/>
      </xdr:nvGraphicFramePr>
      <xdr:xfrm>
        <a:off x="0" y="22659975"/>
        <a:ext cx="5591175" cy="3028950"/>
      </xdr:xfrm>
      <a:graphic>
        <a:graphicData uri="http://schemas.openxmlformats.org/drawingml/2006/chart">
          <c:chart xmlns:c="http://schemas.openxmlformats.org/drawingml/2006/chart" r:id="rId9"/>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0.23725</cdr:x>
      <cdr:y>0.674</cdr:y>
    </cdr:from>
    <cdr:to>
      <cdr:x>0.39375</cdr:x>
      <cdr:y>0.74675</cdr:y>
    </cdr:to>
    <cdr:sp>
      <cdr:nvSpPr>
        <cdr:cNvPr id="1" name="TextBox 1"/>
        <cdr:cNvSpPr txBox="1">
          <a:spLocks noChangeArrowheads="1"/>
        </cdr:cNvSpPr>
      </cdr:nvSpPr>
      <cdr:spPr>
        <a:xfrm>
          <a:off x="676275" y="0"/>
          <a:ext cx="447675" cy="0"/>
        </a:xfrm>
        <a:prstGeom prst="rect">
          <a:avLst/>
        </a:prstGeom>
        <a:noFill/>
        <a:ln w="1" cmpd="sng">
          <a:noFill/>
        </a:ln>
      </cdr:spPr>
      <cdr:txBody>
        <a:bodyPr vertOverflow="clip" wrap="square" anchor="ctr"/>
        <a:p>
          <a:pPr algn="ctr">
            <a:defRPr/>
          </a:pPr>
          <a:r>
            <a:rPr lang="en-US" cap="none" sz="250" b="0" i="0" u="none" baseline="0">
              <a:latin typeface="Arial"/>
              <a:ea typeface="Arial"/>
              <a:cs typeface="Arial"/>
            </a:rPr>
            <a:t>1999</a:t>
          </a:r>
        </a:p>
      </cdr:txBody>
    </cdr:sp>
  </cdr:relSizeAnchor>
  <cdr:relSizeAnchor xmlns:cdr="http://schemas.openxmlformats.org/drawingml/2006/chartDrawing">
    <cdr:from>
      <cdr:x>0.42725</cdr:x>
      <cdr:y>0.602</cdr:y>
    </cdr:from>
    <cdr:to>
      <cdr:x>0.5775</cdr:x>
      <cdr:y>0.698</cdr:y>
    </cdr:to>
    <cdr:sp>
      <cdr:nvSpPr>
        <cdr:cNvPr id="2" name="TextBox 2"/>
        <cdr:cNvSpPr txBox="1">
          <a:spLocks noChangeArrowheads="1"/>
        </cdr:cNvSpPr>
      </cdr:nvSpPr>
      <cdr:spPr>
        <a:xfrm>
          <a:off x="1219200" y="0"/>
          <a:ext cx="428625" cy="0"/>
        </a:xfrm>
        <a:prstGeom prst="rect">
          <a:avLst/>
        </a:prstGeom>
        <a:noFill/>
        <a:ln w="1" cmpd="sng">
          <a:noFill/>
        </a:ln>
      </cdr:spPr>
      <cdr:txBody>
        <a:bodyPr vertOverflow="clip" wrap="square" anchor="ctr"/>
        <a:p>
          <a:pPr algn="ctr">
            <a:defRPr/>
          </a:pPr>
          <a:r>
            <a:rPr lang="en-US" cap="none" sz="250" b="0" i="0" u="none" baseline="0">
              <a:latin typeface="Arial"/>
              <a:ea typeface="Arial"/>
              <a:cs typeface="Arial"/>
            </a:rPr>
            <a:t>2000</a:t>
          </a:r>
        </a:p>
      </cdr:txBody>
    </cdr:sp>
  </cdr:relSizeAnchor>
  <cdr:relSizeAnchor xmlns:cdr="http://schemas.openxmlformats.org/drawingml/2006/chartDrawing">
    <cdr:from>
      <cdr:x>0.62825</cdr:x>
      <cdr:y>0.58</cdr:y>
    </cdr:from>
    <cdr:to>
      <cdr:x>0.81</cdr:x>
      <cdr:y>0.6755</cdr:y>
    </cdr:to>
    <cdr:sp>
      <cdr:nvSpPr>
        <cdr:cNvPr id="3" name="TextBox 3"/>
        <cdr:cNvSpPr txBox="1">
          <a:spLocks noChangeArrowheads="1"/>
        </cdr:cNvSpPr>
      </cdr:nvSpPr>
      <cdr:spPr>
        <a:xfrm>
          <a:off x="1790700" y="0"/>
          <a:ext cx="523875" cy="0"/>
        </a:xfrm>
        <a:prstGeom prst="rect">
          <a:avLst/>
        </a:prstGeom>
        <a:noFill/>
        <a:ln w="1" cmpd="sng">
          <a:noFill/>
        </a:ln>
      </cdr:spPr>
      <cdr:txBody>
        <a:bodyPr vertOverflow="clip" wrap="square" anchor="ctr"/>
        <a:p>
          <a:pPr algn="ctr">
            <a:defRPr/>
          </a:pPr>
          <a:r>
            <a:rPr lang="en-US" cap="none" sz="250" b="0" i="0" u="none" baseline="0">
              <a:latin typeface="Arial"/>
              <a:ea typeface="Arial"/>
              <a:cs typeface="Arial"/>
            </a:rPr>
            <a:t>2001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0.27575</cdr:x>
      <cdr:y>0.63775</cdr:y>
    </cdr:from>
    <cdr:to>
      <cdr:x>0.458</cdr:x>
      <cdr:y>0.70475</cdr:y>
    </cdr:to>
    <cdr:sp>
      <cdr:nvSpPr>
        <cdr:cNvPr id="1" name="TextBox 1"/>
        <cdr:cNvSpPr txBox="1">
          <a:spLocks noChangeArrowheads="1"/>
        </cdr:cNvSpPr>
      </cdr:nvSpPr>
      <cdr:spPr>
        <a:xfrm>
          <a:off x="790575" y="0"/>
          <a:ext cx="523875" cy="0"/>
        </a:xfrm>
        <a:prstGeom prst="rect">
          <a:avLst/>
        </a:prstGeom>
        <a:noFill/>
        <a:ln w="1" cmpd="sng">
          <a:noFill/>
        </a:ln>
      </cdr:spPr>
      <cdr:txBody>
        <a:bodyPr vertOverflow="clip" wrap="square" anchor="ctr"/>
        <a:p>
          <a:pPr algn="ctr">
            <a:defRPr/>
          </a:pPr>
          <a:r>
            <a:rPr lang="en-US" cap="none" sz="300" b="0" i="0" u="none" baseline="0">
              <a:latin typeface="Arial"/>
              <a:ea typeface="Arial"/>
              <a:cs typeface="Arial"/>
            </a:rPr>
            <a:t>1999</a:t>
          </a:r>
        </a:p>
      </cdr:txBody>
    </cdr:sp>
  </cdr:relSizeAnchor>
  <cdr:relSizeAnchor xmlns:cdr="http://schemas.openxmlformats.org/drawingml/2006/chartDrawing">
    <cdr:from>
      <cdr:x>0.47875</cdr:x>
      <cdr:y>0.64525</cdr:y>
    </cdr:from>
    <cdr:to>
      <cdr:x>0.615</cdr:x>
      <cdr:y>0.7095</cdr:y>
    </cdr:to>
    <cdr:sp>
      <cdr:nvSpPr>
        <cdr:cNvPr id="2" name="TextBox 2"/>
        <cdr:cNvSpPr txBox="1">
          <a:spLocks noChangeArrowheads="1"/>
        </cdr:cNvSpPr>
      </cdr:nvSpPr>
      <cdr:spPr>
        <a:xfrm>
          <a:off x="1371600" y="0"/>
          <a:ext cx="390525" cy="0"/>
        </a:xfrm>
        <a:prstGeom prst="rect">
          <a:avLst/>
        </a:prstGeom>
        <a:noFill/>
        <a:ln w="1" cmpd="sng">
          <a:noFill/>
        </a:ln>
      </cdr:spPr>
      <cdr:txBody>
        <a:bodyPr vertOverflow="clip" wrap="square" anchor="ctr"/>
        <a:p>
          <a:pPr algn="ctr">
            <a:defRPr/>
          </a:pPr>
          <a:r>
            <a:rPr lang="en-US" cap="none" sz="300" b="0" i="0" u="none" baseline="0">
              <a:latin typeface="Arial"/>
              <a:ea typeface="Arial"/>
              <a:cs typeface="Arial"/>
            </a:rPr>
            <a:t>2000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0.4065</cdr:x>
      <cdr:y>0.5475</cdr:y>
    </cdr:from>
    <cdr:to>
      <cdr:x>0.6185</cdr:x>
      <cdr:y>0.7155</cdr:y>
    </cdr:to>
    <cdr:sp>
      <cdr:nvSpPr>
        <cdr:cNvPr id="1" name="TextBox 1"/>
        <cdr:cNvSpPr txBox="1">
          <a:spLocks noChangeArrowheads="1"/>
        </cdr:cNvSpPr>
      </cdr:nvSpPr>
      <cdr:spPr>
        <a:xfrm>
          <a:off x="1114425" y="0"/>
          <a:ext cx="5810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0.2055</cdr:x>
      <cdr:y>0.6495</cdr:y>
    </cdr:from>
    <cdr:to>
      <cdr:x>0.40575</cdr:x>
      <cdr:y>0.75125</cdr:y>
    </cdr:to>
    <cdr:sp>
      <cdr:nvSpPr>
        <cdr:cNvPr id="2" name="TextBox 2"/>
        <cdr:cNvSpPr txBox="1">
          <a:spLocks noChangeArrowheads="1"/>
        </cdr:cNvSpPr>
      </cdr:nvSpPr>
      <cdr:spPr>
        <a:xfrm>
          <a:off x="561975" y="0"/>
          <a:ext cx="55245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0.61925</cdr:x>
      <cdr:y>0.6715</cdr:y>
    </cdr:from>
    <cdr:to>
      <cdr:x>0.79525</cdr:x>
      <cdr:y>0.75125</cdr:y>
    </cdr:to>
    <cdr:sp>
      <cdr:nvSpPr>
        <cdr:cNvPr id="3" name="TextBox 3"/>
        <cdr:cNvSpPr txBox="1">
          <a:spLocks noChangeArrowheads="1"/>
        </cdr:cNvSpPr>
      </cdr:nvSpPr>
      <cdr:spPr>
        <a:xfrm>
          <a:off x="1704975" y="0"/>
          <a:ext cx="48577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0.2265</cdr:x>
      <cdr:y>0.621</cdr:y>
    </cdr:from>
    <cdr:to>
      <cdr:x>0.43225</cdr:x>
      <cdr:y>0.7275</cdr:y>
    </cdr:to>
    <cdr:sp>
      <cdr:nvSpPr>
        <cdr:cNvPr id="1" name="TextBox 1"/>
        <cdr:cNvSpPr txBox="1">
          <a:spLocks noChangeArrowheads="1"/>
        </cdr:cNvSpPr>
      </cdr:nvSpPr>
      <cdr:spPr>
        <a:xfrm>
          <a:off x="704850" y="0"/>
          <a:ext cx="64770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1999</a:t>
          </a:r>
        </a:p>
      </cdr:txBody>
    </cdr:sp>
  </cdr:relSizeAnchor>
  <cdr:relSizeAnchor xmlns:cdr="http://schemas.openxmlformats.org/drawingml/2006/chartDrawing">
    <cdr:from>
      <cdr:x>0.43225</cdr:x>
      <cdr:y>0.65175</cdr:y>
    </cdr:from>
    <cdr:to>
      <cdr:x>0.626</cdr:x>
      <cdr:y>0.75875</cdr:y>
    </cdr:to>
    <cdr:sp>
      <cdr:nvSpPr>
        <cdr:cNvPr id="2" name="TextBox 2"/>
        <cdr:cNvSpPr txBox="1">
          <a:spLocks noChangeArrowheads="1"/>
        </cdr:cNvSpPr>
      </cdr:nvSpPr>
      <cdr:spPr>
        <a:xfrm>
          <a:off x="1352550" y="0"/>
          <a:ext cx="609600"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2000</a:t>
          </a:r>
        </a:p>
      </cdr:txBody>
    </cdr:sp>
  </cdr:relSizeAnchor>
  <cdr:relSizeAnchor xmlns:cdr="http://schemas.openxmlformats.org/drawingml/2006/chartDrawing">
    <cdr:from>
      <cdr:x>0.626</cdr:x>
      <cdr:y>0.621</cdr:y>
    </cdr:from>
    <cdr:to>
      <cdr:x>0.8225</cdr:x>
      <cdr:y>0.7275</cdr:y>
    </cdr:to>
    <cdr:sp>
      <cdr:nvSpPr>
        <cdr:cNvPr id="3" name="TextBox 3"/>
        <cdr:cNvSpPr txBox="1">
          <a:spLocks noChangeArrowheads="1"/>
        </cdr:cNvSpPr>
      </cdr:nvSpPr>
      <cdr:spPr>
        <a:xfrm>
          <a:off x="1962150" y="0"/>
          <a:ext cx="619125" cy="0"/>
        </a:xfrm>
        <a:prstGeom prst="rect">
          <a:avLst/>
        </a:prstGeom>
        <a:noFill/>
        <a:ln w="1" cmpd="sng">
          <a:noFill/>
        </a:ln>
      </cdr:spPr>
      <cdr:txBody>
        <a:bodyPr vertOverflow="clip" wrap="square" anchor="ctr"/>
        <a:p>
          <a:pPr algn="ctr">
            <a:defRPr/>
          </a:pPr>
          <a:r>
            <a:rPr lang="en-US" cap="none" sz="325" b="0" i="0" u="none" baseline="0">
              <a:latin typeface="Arial"/>
              <a:ea typeface="Arial"/>
              <a:cs typeface="Arial"/>
            </a:rPr>
            <a:t>2001</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J47"/>
  <sheetViews>
    <sheetView zoomScale="75" zoomScaleNormal="75" workbookViewId="0" topLeftCell="A1">
      <selection activeCell="L13" sqref="L13"/>
    </sheetView>
  </sheetViews>
  <sheetFormatPr defaultColWidth="9.140625" defaultRowHeight="12.75"/>
  <cols>
    <col min="1" max="4" width="9.140625" style="35" customWidth="1"/>
    <col min="5" max="5" width="9.421875" style="35" customWidth="1"/>
    <col min="6" max="9" width="9.140625" style="35" customWidth="1"/>
    <col min="10" max="10" width="10.8515625" style="35" customWidth="1"/>
    <col min="11" max="16384" width="9.140625" style="35" customWidth="1"/>
  </cols>
  <sheetData>
    <row r="5" spans="2:10" ht="15">
      <c r="B5" s="133" t="s">
        <v>274</v>
      </c>
      <c r="C5" s="133"/>
      <c r="D5" s="133"/>
      <c r="E5" s="133"/>
      <c r="F5" s="133"/>
      <c r="G5" s="133"/>
      <c r="H5" s="133"/>
      <c r="I5" s="133"/>
      <c r="J5" s="133"/>
    </row>
    <row r="6" spans="2:10" ht="15">
      <c r="B6" s="133"/>
      <c r="C6" s="133"/>
      <c r="D6" s="133"/>
      <c r="E6" s="133"/>
      <c r="F6" s="133"/>
      <c r="G6" s="133"/>
      <c r="H6" s="133"/>
      <c r="I6" s="133"/>
      <c r="J6" s="133"/>
    </row>
    <row r="7" spans="2:10" ht="15">
      <c r="B7" s="133" t="s">
        <v>131</v>
      </c>
      <c r="C7" s="133"/>
      <c r="D7" s="133"/>
      <c r="E7" s="133"/>
      <c r="F7" s="133"/>
      <c r="G7" s="133"/>
      <c r="H7" s="133"/>
      <c r="I7" s="133"/>
      <c r="J7" s="133"/>
    </row>
    <row r="8" spans="2:10" ht="15">
      <c r="B8" s="133"/>
      <c r="C8" s="133"/>
      <c r="D8" s="133"/>
      <c r="E8" s="133"/>
      <c r="F8" s="133"/>
      <c r="G8" s="133"/>
      <c r="H8" s="133"/>
      <c r="I8" s="133"/>
      <c r="J8" s="133"/>
    </row>
    <row r="9" spans="2:10" ht="15">
      <c r="B9" s="133" t="s">
        <v>35</v>
      </c>
      <c r="C9" s="133"/>
      <c r="D9" s="133"/>
      <c r="E9" s="133"/>
      <c r="F9" s="133"/>
      <c r="G9" s="133"/>
      <c r="H9" s="133"/>
      <c r="I9" s="133"/>
      <c r="J9" s="133"/>
    </row>
    <row r="10" spans="2:10" ht="15">
      <c r="B10" s="133"/>
      <c r="C10" s="133"/>
      <c r="D10" s="133"/>
      <c r="E10" s="133"/>
      <c r="F10" s="133"/>
      <c r="G10" s="133"/>
      <c r="H10" s="133"/>
      <c r="I10" s="133"/>
      <c r="J10" s="133"/>
    </row>
    <row r="11" spans="2:10" ht="15">
      <c r="B11" s="133"/>
      <c r="C11" s="133"/>
      <c r="D11" s="133"/>
      <c r="E11" s="133"/>
      <c r="F11" s="133"/>
      <c r="G11" s="133"/>
      <c r="H11" s="133"/>
      <c r="I11" s="133"/>
      <c r="J11" s="133"/>
    </row>
    <row r="12" spans="2:10" ht="15">
      <c r="B12" s="133"/>
      <c r="C12" s="133"/>
      <c r="D12" s="133"/>
      <c r="E12" s="133"/>
      <c r="F12" s="133"/>
      <c r="G12" s="133"/>
      <c r="H12" s="133"/>
      <c r="I12" s="133"/>
      <c r="J12" s="133"/>
    </row>
    <row r="13" spans="2:10" ht="15">
      <c r="B13" s="133" t="s">
        <v>132</v>
      </c>
      <c r="C13" s="133"/>
      <c r="D13" s="133"/>
      <c r="E13" s="133"/>
      <c r="F13" s="133"/>
      <c r="G13" s="133"/>
      <c r="H13" s="133"/>
      <c r="I13" s="133"/>
      <c r="J13" s="133"/>
    </row>
    <row r="14" spans="2:10" ht="15">
      <c r="B14" s="133" t="s">
        <v>22</v>
      </c>
      <c r="C14" s="133"/>
      <c r="D14" s="133"/>
      <c r="E14" s="133"/>
      <c r="F14" s="133"/>
      <c r="G14" s="133"/>
      <c r="H14" s="133"/>
      <c r="I14" s="133"/>
      <c r="J14" s="133"/>
    </row>
    <row r="15" spans="2:10" ht="15">
      <c r="B15" s="133"/>
      <c r="C15" s="133"/>
      <c r="D15" s="133"/>
      <c r="E15" s="133"/>
      <c r="F15" s="133"/>
      <c r="G15" s="133"/>
      <c r="H15" s="133"/>
      <c r="I15" s="133"/>
      <c r="J15" s="133"/>
    </row>
    <row r="16" spans="2:10" ht="15">
      <c r="B16" s="133"/>
      <c r="C16" s="133"/>
      <c r="D16" s="133"/>
      <c r="E16" s="133"/>
      <c r="F16" s="133"/>
      <c r="G16" s="133"/>
      <c r="H16" s="133"/>
      <c r="I16" s="133"/>
      <c r="J16" s="133"/>
    </row>
    <row r="17" spans="2:10" ht="15">
      <c r="B17" s="133"/>
      <c r="C17" s="133"/>
      <c r="D17" s="133"/>
      <c r="E17" s="133"/>
      <c r="F17" s="133"/>
      <c r="G17" s="133"/>
      <c r="H17" s="133"/>
      <c r="I17" s="133"/>
      <c r="J17" s="133"/>
    </row>
    <row r="18" spans="2:10" ht="15">
      <c r="B18" s="133"/>
      <c r="C18" s="133"/>
      <c r="D18" s="133"/>
      <c r="E18" s="133"/>
      <c r="F18" s="133"/>
      <c r="G18" s="133"/>
      <c r="H18" s="133"/>
      <c r="I18" s="133"/>
      <c r="J18" s="133"/>
    </row>
    <row r="19" spans="2:10" ht="15">
      <c r="B19" s="133" t="s">
        <v>23</v>
      </c>
      <c r="C19" s="133"/>
      <c r="D19" s="133"/>
      <c r="E19" s="133"/>
      <c r="F19" s="133"/>
      <c r="G19" s="133"/>
      <c r="H19" s="133"/>
      <c r="I19" s="133"/>
      <c r="J19" s="133"/>
    </row>
    <row r="20" spans="2:10" ht="15">
      <c r="B20" s="133"/>
      <c r="C20" s="133"/>
      <c r="D20" s="133"/>
      <c r="E20" s="133"/>
      <c r="F20" s="133"/>
      <c r="G20" s="133"/>
      <c r="H20" s="133"/>
      <c r="I20" s="133"/>
      <c r="J20" s="133"/>
    </row>
    <row r="21" spans="2:10" ht="15">
      <c r="B21" s="133"/>
      <c r="C21" s="133"/>
      <c r="D21" s="133"/>
      <c r="E21" s="133"/>
      <c r="F21" s="133"/>
      <c r="G21" s="133"/>
      <c r="H21" s="133"/>
      <c r="I21" s="133"/>
      <c r="J21" s="133"/>
    </row>
    <row r="22" spans="2:10" ht="15">
      <c r="B22" s="133"/>
      <c r="C22" s="133"/>
      <c r="D22" s="133"/>
      <c r="E22" s="133"/>
      <c r="F22" s="133"/>
      <c r="G22" s="133"/>
      <c r="H22" s="133"/>
      <c r="I22" s="133"/>
      <c r="J22" s="133"/>
    </row>
    <row r="23" spans="2:10" ht="15">
      <c r="B23" s="133"/>
      <c r="C23" s="133"/>
      <c r="D23" s="133"/>
      <c r="E23" s="133"/>
      <c r="F23" s="133"/>
      <c r="G23" s="133"/>
      <c r="H23" s="133"/>
      <c r="I23" s="133"/>
      <c r="J23" s="133"/>
    </row>
    <row r="24" spans="2:10" ht="15" customHeight="1" hidden="1">
      <c r="B24" s="133"/>
      <c r="C24" s="133"/>
      <c r="D24" s="133"/>
      <c r="E24" s="133"/>
      <c r="F24" s="133"/>
      <c r="G24" s="133"/>
      <c r="H24" s="133"/>
      <c r="I24" s="133"/>
      <c r="J24" s="133"/>
    </row>
    <row r="25" spans="2:10" ht="15" customHeight="1" hidden="1">
      <c r="B25" s="133"/>
      <c r="C25" s="133"/>
      <c r="D25" s="133"/>
      <c r="E25" s="133"/>
      <c r="F25" s="133"/>
      <c r="G25" s="133"/>
      <c r="H25" s="133"/>
      <c r="I25" s="133"/>
      <c r="J25" s="133"/>
    </row>
    <row r="26" spans="2:10" ht="15" customHeight="1" hidden="1">
      <c r="B26" s="133"/>
      <c r="C26" s="133"/>
      <c r="D26" s="133"/>
      <c r="E26" s="133"/>
      <c r="F26" s="133"/>
      <c r="G26" s="133"/>
      <c r="H26" s="133"/>
      <c r="I26" s="133"/>
      <c r="J26" s="133"/>
    </row>
    <row r="27" spans="2:10" ht="15">
      <c r="B27" s="133" t="s">
        <v>29</v>
      </c>
      <c r="C27" s="133"/>
      <c r="D27" s="133"/>
      <c r="E27" s="133"/>
      <c r="F27" s="133"/>
      <c r="G27" s="133"/>
      <c r="H27" s="133"/>
      <c r="I27" s="133"/>
      <c r="J27" s="133"/>
    </row>
    <row r="28" spans="2:10" ht="15">
      <c r="B28" s="133"/>
      <c r="C28" s="133"/>
      <c r="D28" s="133"/>
      <c r="E28" s="133"/>
      <c r="F28" s="133"/>
      <c r="G28" s="133"/>
      <c r="H28" s="133"/>
      <c r="I28" s="133"/>
      <c r="J28" s="133"/>
    </row>
    <row r="29" spans="2:10" ht="15">
      <c r="B29" s="133"/>
      <c r="C29" s="133"/>
      <c r="D29" s="133"/>
      <c r="E29" s="133"/>
      <c r="F29" s="133"/>
      <c r="G29" s="133"/>
      <c r="H29" s="133"/>
      <c r="I29" s="133"/>
      <c r="J29" s="133"/>
    </row>
    <row r="30" spans="2:10" ht="15">
      <c r="B30" s="133" t="s">
        <v>200</v>
      </c>
      <c r="C30" s="133"/>
      <c r="D30" s="133"/>
      <c r="E30" s="133"/>
      <c r="F30" s="133"/>
      <c r="G30" s="133"/>
      <c r="H30" s="133"/>
      <c r="I30" s="133"/>
      <c r="J30" s="133"/>
    </row>
    <row r="31" spans="2:10" ht="15">
      <c r="B31" s="133"/>
      <c r="C31" s="133"/>
      <c r="D31" s="133"/>
      <c r="E31" s="133"/>
      <c r="F31" s="133"/>
      <c r="G31" s="133"/>
      <c r="H31" s="133"/>
      <c r="I31" s="133"/>
      <c r="J31" s="133"/>
    </row>
    <row r="32" spans="2:10" ht="15">
      <c r="B32" s="133"/>
      <c r="C32" s="133"/>
      <c r="D32" s="133"/>
      <c r="E32" s="133"/>
      <c r="F32" s="133"/>
      <c r="G32" s="133"/>
      <c r="H32" s="133"/>
      <c r="I32" s="133"/>
      <c r="J32" s="133"/>
    </row>
    <row r="33" spans="2:10" ht="15">
      <c r="B33" s="133"/>
      <c r="C33" s="133"/>
      <c r="D33" s="133"/>
      <c r="E33" s="133"/>
      <c r="F33" s="133"/>
      <c r="G33" s="133"/>
      <c r="H33" s="133"/>
      <c r="I33" s="133"/>
      <c r="J33" s="133"/>
    </row>
    <row r="34" spans="2:10" ht="15" customHeight="1">
      <c r="B34" s="134" t="s">
        <v>25</v>
      </c>
      <c r="C34" s="134"/>
      <c r="D34" s="134"/>
      <c r="E34" s="134"/>
      <c r="F34" s="134"/>
      <c r="G34" s="134"/>
      <c r="H34" s="134"/>
      <c r="I34" s="134"/>
      <c r="J34" s="134"/>
    </row>
    <row r="35" spans="2:10" ht="15" customHeight="1">
      <c r="B35" s="134"/>
      <c r="C35" s="134"/>
      <c r="D35" s="134"/>
      <c r="E35" s="134"/>
      <c r="F35" s="134"/>
      <c r="G35" s="134"/>
      <c r="H35" s="134"/>
      <c r="I35" s="134"/>
      <c r="J35" s="134"/>
    </row>
    <row r="36" spans="2:10" ht="15" customHeight="1">
      <c r="B36" s="134"/>
      <c r="C36" s="134"/>
      <c r="D36" s="134"/>
      <c r="E36" s="134"/>
      <c r="F36" s="134"/>
      <c r="G36" s="134"/>
      <c r="H36" s="134"/>
      <c r="I36" s="134"/>
      <c r="J36" s="134"/>
    </row>
    <row r="37" spans="2:10" ht="15" customHeight="1">
      <c r="B37" s="134"/>
      <c r="C37" s="134"/>
      <c r="D37" s="134"/>
      <c r="E37" s="134"/>
      <c r="F37" s="134"/>
      <c r="G37" s="134"/>
      <c r="H37" s="134"/>
      <c r="I37" s="134"/>
      <c r="J37" s="134"/>
    </row>
    <row r="38" spans="2:10" ht="15" customHeight="1">
      <c r="B38" s="134"/>
      <c r="C38" s="134"/>
      <c r="D38" s="134"/>
      <c r="E38" s="134"/>
      <c r="F38" s="134"/>
      <c r="G38" s="134"/>
      <c r="H38" s="134"/>
      <c r="I38" s="134"/>
      <c r="J38" s="134"/>
    </row>
    <row r="39" spans="2:10" ht="15" customHeight="1">
      <c r="B39" s="134"/>
      <c r="C39" s="134"/>
      <c r="D39" s="134"/>
      <c r="E39" s="134"/>
      <c r="F39" s="134"/>
      <c r="G39" s="134"/>
      <c r="H39" s="134"/>
      <c r="I39" s="134"/>
      <c r="J39" s="134"/>
    </row>
    <row r="40" spans="2:10" ht="17.25" customHeight="1">
      <c r="B40" s="134"/>
      <c r="C40" s="134"/>
      <c r="D40" s="134"/>
      <c r="E40" s="134"/>
      <c r="F40" s="134"/>
      <c r="G40" s="134"/>
      <c r="H40" s="134"/>
      <c r="I40" s="134"/>
      <c r="J40" s="134"/>
    </row>
    <row r="41" spans="2:10" ht="15">
      <c r="B41" s="133" t="s">
        <v>24</v>
      </c>
      <c r="C41" s="133"/>
      <c r="D41" s="133"/>
      <c r="E41" s="133"/>
      <c r="F41" s="133"/>
      <c r="G41" s="133"/>
      <c r="H41" s="133"/>
      <c r="I41" s="133"/>
      <c r="J41" s="133"/>
    </row>
    <row r="42" spans="2:10" ht="15">
      <c r="B42" s="135" t="s">
        <v>30</v>
      </c>
      <c r="C42" s="135"/>
      <c r="D42" s="135"/>
      <c r="E42" s="135"/>
      <c r="F42" s="135"/>
      <c r="G42" s="135"/>
      <c r="H42" s="135"/>
      <c r="I42" s="135"/>
      <c r="J42" s="135"/>
    </row>
    <row r="43" spans="2:10" ht="15">
      <c r="B43" s="135" t="s">
        <v>31</v>
      </c>
      <c r="C43" s="135"/>
      <c r="D43" s="135"/>
      <c r="E43" s="135"/>
      <c r="F43" s="135"/>
      <c r="G43" s="135"/>
      <c r="H43" s="135"/>
      <c r="I43" s="135"/>
      <c r="J43" s="135"/>
    </row>
    <row r="44" spans="2:10" ht="15">
      <c r="B44" s="135" t="s">
        <v>32</v>
      </c>
      <c r="C44" s="135"/>
      <c r="D44" s="135"/>
      <c r="E44" s="135"/>
      <c r="F44" s="135"/>
      <c r="G44" s="135"/>
      <c r="H44" s="135"/>
      <c r="I44" s="135"/>
      <c r="J44" s="135"/>
    </row>
    <row r="45" spans="2:10" ht="15">
      <c r="B45" s="135" t="s">
        <v>33</v>
      </c>
      <c r="C45" s="135"/>
      <c r="D45" s="135"/>
      <c r="E45" s="135"/>
      <c r="F45" s="135"/>
      <c r="G45" s="135"/>
      <c r="H45" s="135"/>
      <c r="I45" s="135"/>
      <c r="J45" s="135"/>
    </row>
    <row r="46" spans="2:10" ht="15">
      <c r="B46" s="133" t="s">
        <v>34</v>
      </c>
      <c r="C46" s="133"/>
      <c r="D46" s="133"/>
      <c r="E46" s="133"/>
      <c r="F46" s="133"/>
      <c r="G46" s="133"/>
      <c r="H46" s="133"/>
      <c r="I46" s="133"/>
      <c r="J46" s="133"/>
    </row>
    <row r="47" spans="2:10" ht="15">
      <c r="B47" s="136"/>
      <c r="C47" s="136"/>
      <c r="D47" s="136"/>
      <c r="E47" s="136"/>
      <c r="F47" s="136"/>
      <c r="G47" s="136"/>
      <c r="H47" s="136"/>
      <c r="I47" s="136"/>
      <c r="J47" s="136"/>
    </row>
  </sheetData>
  <mergeCells count="16">
    <mergeCell ref="B44:J44"/>
    <mergeCell ref="B45:J45"/>
    <mergeCell ref="B46:J47"/>
    <mergeCell ref="B41:J41"/>
    <mergeCell ref="B42:J42"/>
    <mergeCell ref="B43:J43"/>
    <mergeCell ref="B30:J33"/>
    <mergeCell ref="B34:J40"/>
    <mergeCell ref="B14:J18"/>
    <mergeCell ref="B19:J23"/>
    <mergeCell ref="B24:J26"/>
    <mergeCell ref="B27:J29"/>
    <mergeCell ref="B5:J6"/>
    <mergeCell ref="B7:J8"/>
    <mergeCell ref="B9:J12"/>
    <mergeCell ref="B13:J13"/>
  </mergeCells>
  <printOptions horizontalCentered="1"/>
  <pageMargins left="0.73" right="0.64" top="0.81" bottom="0.89" header="0.5118110236220472" footer="0.5118110236220472"/>
  <pageSetup horizontalDpi="600" verticalDpi="600" orientation="portrait" paperSize="9" r:id="rId2"/>
  <headerFooter alignWithMargins="0">
    <oddFooter>&amp;C&amp;P</oddFooter>
  </headerFooter>
  <rowBreaks count="1" manualBreakCount="1">
    <brk id="183" max="255" man="1"/>
  </rowBreaks>
  <drawing r:id="rId1"/>
</worksheet>
</file>

<file path=xl/worksheets/sheet2.xml><?xml version="1.0" encoding="utf-8"?>
<worksheet xmlns="http://schemas.openxmlformats.org/spreadsheetml/2006/main" xmlns:r="http://schemas.openxmlformats.org/officeDocument/2006/relationships">
  <dimension ref="A4:I103"/>
  <sheetViews>
    <sheetView workbookViewId="0" topLeftCell="A1">
      <selection activeCell="A54" sqref="A59"/>
    </sheetView>
  </sheetViews>
  <sheetFormatPr defaultColWidth="9.140625" defaultRowHeight="12.75"/>
  <cols>
    <col min="1" max="1" width="23.8515625" style="1" customWidth="1"/>
    <col min="2" max="2" width="12.8515625" style="1" bestFit="1" customWidth="1"/>
    <col min="3" max="3" width="4.57421875" style="1" bestFit="1" customWidth="1"/>
    <col min="4" max="4" width="13.421875" style="1" bestFit="1" customWidth="1"/>
    <col min="5" max="5" width="5.28125" style="1" bestFit="1" customWidth="1"/>
    <col min="6" max="6" width="10.28125" style="1" customWidth="1"/>
    <col min="7" max="7" width="4.8515625" style="1" customWidth="1"/>
    <col min="8" max="8" width="9.140625" style="1" customWidth="1"/>
    <col min="9" max="9" width="5.421875" style="1" customWidth="1"/>
    <col min="10" max="16384" width="9.140625" style="1" customWidth="1"/>
  </cols>
  <sheetData>
    <row r="4" spans="1:9" ht="15" customHeight="1">
      <c r="A4" s="133" t="s">
        <v>167</v>
      </c>
      <c r="B4" s="133"/>
      <c r="C4" s="133"/>
      <c r="D4" s="133"/>
      <c r="E4" s="133"/>
      <c r="F4" s="133"/>
      <c r="G4" s="133"/>
      <c r="H4" s="133"/>
      <c r="I4" s="133"/>
    </row>
    <row r="5" spans="1:9" ht="15" customHeight="1">
      <c r="A5" s="133"/>
      <c r="B5" s="133"/>
      <c r="C5" s="133"/>
      <c r="D5" s="133"/>
      <c r="E5" s="133"/>
      <c r="F5" s="133"/>
      <c r="G5" s="133"/>
      <c r="H5" s="133"/>
      <c r="I5" s="133"/>
    </row>
    <row r="6" spans="1:9" ht="15" customHeight="1">
      <c r="A6" s="137" t="s">
        <v>168</v>
      </c>
      <c r="B6" s="137"/>
      <c r="C6" s="137"/>
      <c r="D6" s="137"/>
      <c r="E6" s="137"/>
      <c r="F6" s="137"/>
      <c r="G6" s="137"/>
      <c r="H6" s="137"/>
      <c r="I6" s="137"/>
    </row>
    <row r="7" spans="1:9" ht="15" customHeight="1">
      <c r="A7" s="135" t="s">
        <v>110</v>
      </c>
      <c r="B7" s="135"/>
      <c r="C7" s="135"/>
      <c r="D7" s="135"/>
      <c r="E7" s="135"/>
      <c r="F7" s="135"/>
      <c r="G7" s="135"/>
      <c r="H7" s="135"/>
      <c r="I7" s="135"/>
    </row>
    <row r="8" spans="1:9" ht="15" customHeight="1">
      <c r="A8" s="135"/>
      <c r="B8" s="135"/>
      <c r="C8" s="135"/>
      <c r="D8" s="135"/>
      <c r="E8" s="135"/>
      <c r="F8" s="135"/>
      <c r="G8" s="135"/>
      <c r="H8" s="135"/>
      <c r="I8" s="135"/>
    </row>
    <row r="9" spans="1:9" ht="15" customHeight="1">
      <c r="A9" s="135"/>
      <c r="B9" s="135"/>
      <c r="C9" s="135"/>
      <c r="D9" s="135"/>
      <c r="E9" s="135"/>
      <c r="F9" s="135"/>
      <c r="G9" s="135"/>
      <c r="H9" s="135"/>
      <c r="I9" s="135"/>
    </row>
    <row r="10" spans="1:9" ht="15" customHeight="1">
      <c r="A10" s="135" t="s">
        <v>111</v>
      </c>
      <c r="B10" s="135"/>
      <c r="C10" s="135"/>
      <c r="D10" s="135"/>
      <c r="E10" s="135"/>
      <c r="F10" s="135"/>
      <c r="G10" s="135"/>
      <c r="H10" s="135"/>
      <c r="I10" s="135"/>
    </row>
    <row r="11" spans="1:9" ht="15" customHeight="1">
      <c r="A11" s="135"/>
      <c r="B11" s="135"/>
      <c r="C11" s="135"/>
      <c r="D11" s="135"/>
      <c r="E11" s="135"/>
      <c r="F11" s="135"/>
      <c r="G11" s="135"/>
      <c r="H11" s="135"/>
      <c r="I11" s="135"/>
    </row>
    <row r="12" spans="1:9" ht="15" customHeight="1">
      <c r="A12" s="135"/>
      <c r="B12" s="135"/>
      <c r="C12" s="135"/>
      <c r="D12" s="135"/>
      <c r="E12" s="135"/>
      <c r="F12" s="135"/>
      <c r="G12" s="135"/>
      <c r="H12" s="135"/>
      <c r="I12" s="135"/>
    </row>
    <row r="13" spans="1:9" ht="15" customHeight="1">
      <c r="A13" s="135"/>
      <c r="B13" s="135"/>
      <c r="C13" s="135"/>
      <c r="D13" s="135"/>
      <c r="E13" s="135"/>
      <c r="F13" s="135"/>
      <c r="G13" s="135"/>
      <c r="H13" s="135"/>
      <c r="I13" s="135"/>
    </row>
    <row r="14" spans="1:9" ht="15" customHeight="1">
      <c r="A14" s="135"/>
      <c r="B14" s="135"/>
      <c r="C14" s="135"/>
      <c r="D14" s="135"/>
      <c r="E14" s="135"/>
      <c r="F14" s="135"/>
      <c r="G14" s="135"/>
      <c r="H14" s="135"/>
      <c r="I14" s="135"/>
    </row>
    <row r="15" spans="1:9" ht="15" customHeight="1">
      <c r="A15" s="135"/>
      <c r="B15" s="135"/>
      <c r="C15" s="135"/>
      <c r="D15" s="135"/>
      <c r="E15" s="135"/>
      <c r="F15" s="135"/>
      <c r="G15" s="135"/>
      <c r="H15" s="135"/>
      <c r="I15" s="135"/>
    </row>
    <row r="16" spans="1:9" ht="15" customHeight="1">
      <c r="A16" s="135" t="s">
        <v>112</v>
      </c>
      <c r="B16" s="135"/>
      <c r="C16" s="135"/>
      <c r="D16" s="135"/>
      <c r="E16" s="135"/>
      <c r="F16" s="135"/>
      <c r="G16" s="135"/>
      <c r="H16" s="135"/>
      <c r="I16" s="135"/>
    </row>
    <row r="17" spans="1:9" ht="15" customHeight="1">
      <c r="A17" s="135"/>
      <c r="B17" s="135"/>
      <c r="C17" s="135"/>
      <c r="D17" s="135"/>
      <c r="E17" s="135"/>
      <c r="F17" s="135"/>
      <c r="G17" s="135"/>
      <c r="H17" s="135"/>
      <c r="I17" s="135"/>
    </row>
    <row r="18" spans="1:9" ht="15" customHeight="1">
      <c r="A18" s="11"/>
      <c r="B18" s="2"/>
      <c r="C18" s="2"/>
      <c r="D18" s="2"/>
      <c r="E18" s="2"/>
      <c r="F18" s="2"/>
      <c r="G18" s="2"/>
      <c r="H18" s="2"/>
      <c r="I18" s="2"/>
    </row>
    <row r="19" spans="1:9" ht="15" customHeight="1">
      <c r="A19" s="137" t="s">
        <v>113</v>
      </c>
      <c r="B19" s="137"/>
      <c r="C19" s="137"/>
      <c r="D19" s="137"/>
      <c r="E19" s="137"/>
      <c r="F19" s="137"/>
      <c r="G19" s="137"/>
      <c r="H19" s="137"/>
      <c r="I19" s="137"/>
    </row>
    <row r="20" spans="1:9" ht="15" customHeight="1">
      <c r="A20" s="135" t="s">
        <v>114</v>
      </c>
      <c r="B20" s="135"/>
      <c r="C20" s="135"/>
      <c r="D20" s="135"/>
      <c r="E20" s="135"/>
      <c r="F20" s="135"/>
      <c r="G20" s="135"/>
      <c r="H20" s="135"/>
      <c r="I20" s="135"/>
    </row>
    <row r="21" spans="1:9" ht="15" customHeight="1">
      <c r="A21" s="135"/>
      <c r="B21" s="135"/>
      <c r="C21" s="135"/>
      <c r="D21" s="135"/>
      <c r="E21" s="135"/>
      <c r="F21" s="135"/>
      <c r="G21" s="135"/>
      <c r="H21" s="135"/>
      <c r="I21" s="135"/>
    </row>
    <row r="22" spans="1:9" ht="15" customHeight="1">
      <c r="A22" s="135"/>
      <c r="B22" s="135"/>
      <c r="C22" s="135"/>
      <c r="D22" s="135"/>
      <c r="E22" s="135"/>
      <c r="F22" s="135"/>
      <c r="G22" s="135"/>
      <c r="H22" s="135"/>
      <c r="I22" s="135"/>
    </row>
    <row r="23" spans="1:9" ht="15" customHeight="1">
      <c r="A23" s="135" t="s">
        <v>115</v>
      </c>
      <c r="B23" s="135"/>
      <c r="C23" s="135"/>
      <c r="D23" s="135"/>
      <c r="E23" s="135"/>
      <c r="F23" s="135"/>
      <c r="G23" s="135"/>
      <c r="H23" s="135"/>
      <c r="I23" s="135"/>
    </row>
    <row r="24" spans="1:9" ht="15" customHeight="1">
      <c r="A24" s="135" t="s">
        <v>116</v>
      </c>
      <c r="B24" s="135"/>
      <c r="C24" s="135"/>
      <c r="D24" s="135"/>
      <c r="E24" s="135"/>
      <c r="F24" s="135"/>
      <c r="G24" s="135"/>
      <c r="H24" s="135"/>
      <c r="I24" s="135"/>
    </row>
    <row r="25" spans="1:9" ht="15" customHeight="1">
      <c r="A25" s="135"/>
      <c r="B25" s="135"/>
      <c r="C25" s="135"/>
      <c r="D25" s="135"/>
      <c r="E25" s="135"/>
      <c r="F25" s="135"/>
      <c r="G25" s="135"/>
      <c r="H25" s="135"/>
      <c r="I25" s="135"/>
    </row>
    <row r="26" spans="1:9" ht="15" customHeight="1">
      <c r="A26" s="135" t="s">
        <v>117</v>
      </c>
      <c r="B26" s="135"/>
      <c r="C26" s="135"/>
      <c r="D26" s="135"/>
      <c r="E26" s="135"/>
      <c r="F26" s="135"/>
      <c r="G26" s="135"/>
      <c r="H26" s="135"/>
      <c r="I26" s="135"/>
    </row>
    <row r="27" spans="1:9" ht="15" customHeight="1">
      <c r="A27" s="135"/>
      <c r="B27" s="135"/>
      <c r="C27" s="135"/>
      <c r="D27" s="135"/>
      <c r="E27" s="135"/>
      <c r="F27" s="135"/>
      <c r="G27" s="135"/>
      <c r="H27" s="135"/>
      <c r="I27" s="135"/>
    </row>
    <row r="28" spans="1:9" ht="15" customHeight="1">
      <c r="A28" s="135" t="s">
        <v>118</v>
      </c>
      <c r="B28" s="135"/>
      <c r="C28" s="135"/>
      <c r="D28" s="135"/>
      <c r="E28" s="135"/>
      <c r="F28" s="135"/>
      <c r="G28" s="135"/>
      <c r="H28" s="135"/>
      <c r="I28" s="135"/>
    </row>
    <row r="29" spans="1:9" ht="15" customHeight="1">
      <c r="A29" s="135"/>
      <c r="B29" s="135"/>
      <c r="C29" s="135"/>
      <c r="D29" s="135"/>
      <c r="E29" s="135"/>
      <c r="F29" s="135"/>
      <c r="G29" s="135"/>
      <c r="H29" s="135"/>
      <c r="I29" s="135"/>
    </row>
    <row r="30" spans="1:9" ht="15" customHeight="1">
      <c r="A30" s="135" t="s">
        <v>127</v>
      </c>
      <c r="B30" s="135"/>
      <c r="C30" s="135"/>
      <c r="D30" s="135"/>
      <c r="E30" s="135"/>
      <c r="F30" s="135"/>
      <c r="G30" s="135"/>
      <c r="H30" s="135"/>
      <c r="I30" s="135"/>
    </row>
    <row r="31" spans="1:9" ht="15" customHeight="1">
      <c r="A31" s="135"/>
      <c r="B31" s="135"/>
      <c r="C31" s="135"/>
      <c r="D31" s="135"/>
      <c r="E31" s="135"/>
      <c r="F31" s="135"/>
      <c r="G31" s="135"/>
      <c r="H31" s="135"/>
      <c r="I31" s="135"/>
    </row>
    <row r="32" spans="1:9" ht="15" customHeight="1">
      <c r="A32" s="135"/>
      <c r="B32" s="135"/>
      <c r="C32" s="135"/>
      <c r="D32" s="135"/>
      <c r="E32" s="135"/>
      <c r="F32" s="135"/>
      <c r="G32" s="135"/>
      <c r="H32" s="135"/>
      <c r="I32" s="135"/>
    </row>
    <row r="33" spans="1:9" ht="15" customHeight="1">
      <c r="A33" s="135" t="s">
        <v>119</v>
      </c>
      <c r="B33" s="135"/>
      <c r="C33" s="135"/>
      <c r="D33" s="135"/>
      <c r="E33" s="135"/>
      <c r="F33" s="135"/>
      <c r="G33" s="135"/>
      <c r="H33" s="135"/>
      <c r="I33" s="135"/>
    </row>
    <row r="34" spans="1:9" ht="15" customHeight="1">
      <c r="A34" s="135"/>
      <c r="B34" s="135"/>
      <c r="C34" s="135"/>
      <c r="D34" s="135"/>
      <c r="E34" s="135"/>
      <c r="F34" s="135"/>
      <c r="G34" s="135"/>
      <c r="H34" s="135"/>
      <c r="I34" s="135"/>
    </row>
    <row r="35" spans="1:9" ht="15" customHeight="1">
      <c r="A35" s="135" t="s">
        <v>120</v>
      </c>
      <c r="B35" s="135"/>
      <c r="C35" s="135"/>
      <c r="D35" s="135"/>
      <c r="E35" s="135"/>
      <c r="F35" s="135"/>
      <c r="G35" s="135"/>
      <c r="H35" s="135"/>
      <c r="I35" s="135"/>
    </row>
    <row r="36" spans="1:9" ht="15" customHeight="1">
      <c r="A36" s="135"/>
      <c r="B36" s="135"/>
      <c r="C36" s="135"/>
      <c r="D36" s="135"/>
      <c r="E36" s="135"/>
      <c r="F36" s="135"/>
      <c r="G36" s="135"/>
      <c r="H36" s="135"/>
      <c r="I36" s="135"/>
    </row>
    <row r="37" spans="1:9" ht="15" customHeight="1">
      <c r="A37" s="135" t="s">
        <v>121</v>
      </c>
      <c r="B37" s="135"/>
      <c r="C37" s="135"/>
      <c r="D37" s="135"/>
      <c r="E37" s="135"/>
      <c r="F37" s="135"/>
      <c r="G37" s="135"/>
      <c r="H37" s="135"/>
      <c r="I37" s="135"/>
    </row>
    <row r="38" spans="1:9" ht="15" customHeight="1">
      <c r="A38" s="135"/>
      <c r="B38" s="135"/>
      <c r="C38" s="135"/>
      <c r="D38" s="135"/>
      <c r="E38" s="135"/>
      <c r="F38" s="135"/>
      <c r="G38" s="135"/>
      <c r="H38" s="135"/>
      <c r="I38" s="135"/>
    </row>
    <row r="39" spans="1:9" ht="15" customHeight="1">
      <c r="A39" s="135"/>
      <c r="B39" s="135"/>
      <c r="C39" s="135"/>
      <c r="D39" s="135"/>
      <c r="E39" s="135"/>
      <c r="F39" s="135"/>
      <c r="G39" s="135"/>
      <c r="H39" s="135"/>
      <c r="I39" s="135"/>
    </row>
    <row r="40" spans="1:9" ht="15" customHeight="1">
      <c r="A40" s="135" t="s">
        <v>122</v>
      </c>
      <c r="B40" s="135"/>
      <c r="C40" s="135"/>
      <c r="D40" s="135"/>
      <c r="E40" s="135"/>
      <c r="F40" s="135"/>
      <c r="G40" s="135"/>
      <c r="H40" s="135"/>
      <c r="I40" s="135"/>
    </row>
    <row r="41" spans="1:9" ht="15" customHeight="1">
      <c r="A41" s="135"/>
      <c r="B41" s="135"/>
      <c r="C41" s="135"/>
      <c r="D41" s="135"/>
      <c r="E41" s="135"/>
      <c r="F41" s="135"/>
      <c r="G41" s="135"/>
      <c r="H41" s="135"/>
      <c r="I41" s="135"/>
    </row>
    <row r="42" spans="1:9" ht="15" customHeight="1">
      <c r="A42" s="135"/>
      <c r="B42" s="135"/>
      <c r="C42" s="135"/>
      <c r="D42" s="135"/>
      <c r="E42" s="135"/>
      <c r="F42" s="135"/>
      <c r="G42" s="135"/>
      <c r="H42" s="135"/>
      <c r="I42" s="135"/>
    </row>
    <row r="43" spans="1:9" ht="15" customHeight="1">
      <c r="A43" s="135"/>
      <c r="B43" s="135"/>
      <c r="C43" s="135"/>
      <c r="D43" s="135"/>
      <c r="E43" s="135"/>
      <c r="F43" s="135"/>
      <c r="G43" s="135"/>
      <c r="H43" s="135"/>
      <c r="I43" s="135"/>
    </row>
    <row r="44" spans="1:9" ht="15" customHeight="1">
      <c r="A44" s="135"/>
      <c r="B44" s="135"/>
      <c r="C44" s="135"/>
      <c r="D44" s="135"/>
      <c r="E44" s="135"/>
      <c r="F44" s="135"/>
      <c r="G44" s="135"/>
      <c r="H44" s="135"/>
      <c r="I44" s="135"/>
    </row>
    <row r="45" spans="1:9" ht="15" customHeight="1">
      <c r="A45" s="135" t="s">
        <v>123</v>
      </c>
      <c r="B45" s="135"/>
      <c r="C45" s="135"/>
      <c r="D45" s="135"/>
      <c r="E45" s="135"/>
      <c r="F45" s="135"/>
      <c r="G45" s="135"/>
      <c r="H45" s="135"/>
      <c r="I45" s="135"/>
    </row>
    <row r="46" spans="1:9" ht="15" customHeight="1">
      <c r="A46" s="135"/>
      <c r="B46" s="135"/>
      <c r="C46" s="135"/>
      <c r="D46" s="135"/>
      <c r="E46" s="135"/>
      <c r="F46" s="135"/>
      <c r="G46" s="135"/>
      <c r="H46" s="135"/>
      <c r="I46" s="135"/>
    </row>
    <row r="47" spans="1:9" ht="15" customHeight="1">
      <c r="A47" s="135"/>
      <c r="B47" s="135"/>
      <c r="C47" s="135"/>
      <c r="D47" s="135"/>
      <c r="E47" s="135"/>
      <c r="F47" s="135"/>
      <c r="G47" s="135"/>
      <c r="H47" s="135"/>
      <c r="I47" s="135"/>
    </row>
    <row r="48" spans="1:9" ht="15" customHeight="1">
      <c r="A48" s="135"/>
      <c r="B48" s="135"/>
      <c r="C48" s="135"/>
      <c r="D48" s="135"/>
      <c r="E48" s="135"/>
      <c r="F48" s="135"/>
      <c r="G48" s="135"/>
      <c r="H48" s="135"/>
      <c r="I48" s="135"/>
    </row>
    <row r="49" spans="1:9" ht="15" customHeight="1">
      <c r="A49" s="135"/>
      <c r="B49" s="135"/>
      <c r="C49" s="135"/>
      <c r="D49" s="135"/>
      <c r="E49" s="135"/>
      <c r="F49" s="135"/>
      <c r="G49" s="135"/>
      <c r="H49" s="135"/>
      <c r="I49" s="135"/>
    </row>
    <row r="50" spans="1:9" ht="15" customHeight="1">
      <c r="A50" s="135"/>
      <c r="B50" s="135"/>
      <c r="C50" s="135"/>
      <c r="D50" s="135"/>
      <c r="E50" s="135"/>
      <c r="F50" s="135"/>
      <c r="G50" s="135"/>
      <c r="H50" s="135"/>
      <c r="I50" s="135"/>
    </row>
    <row r="51" spans="1:9" ht="15" customHeight="1">
      <c r="A51" s="135" t="s">
        <v>124</v>
      </c>
      <c r="B51" s="135"/>
      <c r="C51" s="135"/>
      <c r="D51" s="135"/>
      <c r="E51" s="135"/>
      <c r="F51" s="135"/>
      <c r="G51" s="135"/>
      <c r="H51" s="135"/>
      <c r="I51" s="135"/>
    </row>
    <row r="52" spans="1:9" ht="15" customHeight="1">
      <c r="A52" s="135"/>
      <c r="B52" s="135"/>
      <c r="C52" s="135"/>
      <c r="D52" s="135"/>
      <c r="E52" s="135"/>
      <c r="F52" s="135"/>
      <c r="G52" s="135"/>
      <c r="H52" s="135"/>
      <c r="I52" s="135"/>
    </row>
    <row r="53" spans="1:9" ht="15" customHeight="1">
      <c r="A53" s="135"/>
      <c r="B53" s="135"/>
      <c r="C53" s="135"/>
      <c r="D53" s="135"/>
      <c r="E53" s="135"/>
      <c r="F53" s="135"/>
      <c r="G53" s="135"/>
      <c r="H53" s="135"/>
      <c r="I53" s="135"/>
    </row>
    <row r="54" spans="1:9" ht="15" customHeight="1">
      <c r="A54" s="135"/>
      <c r="B54" s="135"/>
      <c r="C54" s="135"/>
      <c r="D54" s="135"/>
      <c r="E54" s="135"/>
      <c r="F54" s="135"/>
      <c r="G54" s="135"/>
      <c r="H54" s="135"/>
      <c r="I54" s="135"/>
    </row>
    <row r="55" spans="1:9" ht="15" customHeight="1">
      <c r="A55" s="135"/>
      <c r="B55" s="135"/>
      <c r="C55" s="135"/>
      <c r="D55" s="135"/>
      <c r="E55" s="135"/>
      <c r="F55" s="135"/>
      <c r="G55" s="135"/>
      <c r="H55" s="135"/>
      <c r="I55" s="135"/>
    </row>
    <row r="56" spans="1:9" ht="15" customHeight="1">
      <c r="A56" s="135"/>
      <c r="B56" s="135"/>
      <c r="C56" s="135"/>
      <c r="D56" s="135"/>
      <c r="E56" s="135"/>
      <c r="F56" s="135"/>
      <c r="G56" s="135"/>
      <c r="H56" s="135"/>
      <c r="I56" s="135"/>
    </row>
    <row r="57" spans="1:9" ht="15" customHeight="1">
      <c r="A57" s="135"/>
      <c r="B57" s="135"/>
      <c r="C57" s="135"/>
      <c r="D57" s="135"/>
      <c r="E57" s="135"/>
      <c r="F57" s="135"/>
      <c r="G57" s="135"/>
      <c r="H57" s="135"/>
      <c r="I57" s="135"/>
    </row>
    <row r="58" spans="1:9" ht="15" customHeight="1">
      <c r="A58" s="135" t="s">
        <v>125</v>
      </c>
      <c r="B58" s="135"/>
      <c r="C58" s="135"/>
      <c r="D58" s="135"/>
      <c r="E58" s="135"/>
      <c r="F58" s="135"/>
      <c r="G58" s="135"/>
      <c r="H58" s="135"/>
      <c r="I58" s="135"/>
    </row>
    <row r="59" spans="1:9" ht="15" customHeight="1">
      <c r="A59" s="135"/>
      <c r="B59" s="135"/>
      <c r="C59" s="135"/>
      <c r="D59" s="135"/>
      <c r="E59" s="135"/>
      <c r="F59" s="135"/>
      <c r="G59" s="135"/>
      <c r="H59" s="135"/>
      <c r="I59" s="135"/>
    </row>
    <row r="60" spans="1:9" ht="15" customHeight="1">
      <c r="A60" s="135"/>
      <c r="B60" s="135"/>
      <c r="C60" s="135"/>
      <c r="D60" s="135"/>
      <c r="E60" s="135"/>
      <c r="F60" s="135"/>
      <c r="G60" s="135"/>
      <c r="H60" s="135"/>
      <c r="I60" s="135"/>
    </row>
    <row r="61" spans="1:9" ht="15" customHeight="1">
      <c r="A61" s="135"/>
      <c r="B61" s="135"/>
      <c r="C61" s="135"/>
      <c r="D61" s="135"/>
      <c r="E61" s="135"/>
      <c r="F61" s="135"/>
      <c r="G61" s="135"/>
      <c r="H61" s="135"/>
      <c r="I61" s="135"/>
    </row>
    <row r="62" spans="1:9" ht="15" customHeight="1">
      <c r="A62" s="135" t="s">
        <v>126</v>
      </c>
      <c r="B62" s="135"/>
      <c r="C62" s="135"/>
      <c r="D62" s="135"/>
      <c r="E62" s="135"/>
      <c r="F62" s="135"/>
      <c r="G62" s="135"/>
      <c r="H62" s="135"/>
      <c r="I62" s="135"/>
    </row>
    <row r="63" spans="1:9" ht="15" customHeight="1">
      <c r="A63" s="135"/>
      <c r="B63" s="135"/>
      <c r="C63" s="135"/>
      <c r="D63" s="135"/>
      <c r="E63" s="135"/>
      <c r="F63" s="135"/>
      <c r="G63" s="135"/>
      <c r="H63" s="135"/>
      <c r="I63" s="135"/>
    </row>
    <row r="64" spans="1:9" ht="15" customHeight="1">
      <c r="A64" s="135"/>
      <c r="B64" s="135"/>
      <c r="C64" s="135"/>
      <c r="D64" s="135"/>
      <c r="E64" s="135"/>
      <c r="F64" s="135"/>
      <c r="G64" s="135"/>
      <c r="H64" s="135"/>
      <c r="I64" s="135"/>
    </row>
    <row r="65" spans="1:9" ht="15" customHeight="1">
      <c r="A65" s="135"/>
      <c r="B65" s="135"/>
      <c r="C65" s="135"/>
      <c r="D65" s="135"/>
      <c r="E65" s="135"/>
      <c r="F65" s="135"/>
      <c r="G65" s="135"/>
      <c r="H65" s="135"/>
      <c r="I65" s="135"/>
    </row>
    <row r="66" spans="1:9" ht="15" customHeight="1">
      <c r="A66" s="135"/>
      <c r="B66" s="135"/>
      <c r="C66" s="135"/>
      <c r="D66" s="135"/>
      <c r="E66" s="135"/>
      <c r="F66" s="135"/>
      <c r="G66" s="135"/>
      <c r="H66" s="135"/>
      <c r="I66" s="135"/>
    </row>
    <row r="67" spans="1:9" ht="15" customHeight="1">
      <c r="A67" s="135"/>
      <c r="B67" s="135"/>
      <c r="C67" s="135"/>
      <c r="D67" s="135"/>
      <c r="E67" s="135"/>
      <c r="F67" s="135"/>
      <c r="G67" s="135"/>
      <c r="H67" s="135"/>
      <c r="I67" s="135"/>
    </row>
    <row r="68" spans="1:9" ht="15" customHeight="1">
      <c r="A68" s="2"/>
      <c r="B68" s="2"/>
      <c r="C68" s="2"/>
      <c r="D68" s="2"/>
      <c r="E68" s="2"/>
      <c r="F68" s="2"/>
      <c r="G68" s="2"/>
      <c r="H68" s="2"/>
      <c r="I68" s="2"/>
    </row>
    <row r="69" spans="1:9" ht="15" customHeight="1">
      <c r="A69" s="2"/>
      <c r="B69" s="2"/>
      <c r="C69" s="2"/>
      <c r="D69" s="2"/>
      <c r="E69" s="2"/>
      <c r="F69" s="2"/>
      <c r="G69" s="2"/>
      <c r="H69" s="2"/>
      <c r="I69" s="2"/>
    </row>
    <row r="70" spans="1:9" ht="15" customHeight="1">
      <c r="A70" s="2"/>
      <c r="B70" s="2"/>
      <c r="C70" s="2"/>
      <c r="D70" s="2"/>
      <c r="E70" s="2"/>
      <c r="F70" s="2"/>
      <c r="G70" s="2"/>
      <c r="H70" s="2"/>
      <c r="I70" s="2"/>
    </row>
    <row r="71" spans="1:9" ht="15" customHeight="1">
      <c r="A71" s="2"/>
      <c r="B71" s="2"/>
      <c r="C71" s="2"/>
      <c r="D71" s="2"/>
      <c r="E71" s="2"/>
      <c r="F71" s="2"/>
      <c r="G71" s="2"/>
      <c r="H71" s="2"/>
      <c r="I71" s="2"/>
    </row>
    <row r="72" spans="1:9" ht="15" customHeight="1">
      <c r="A72" s="2"/>
      <c r="B72" s="2"/>
      <c r="C72" s="2"/>
      <c r="D72" s="2"/>
      <c r="E72" s="2"/>
      <c r="F72" s="2"/>
      <c r="G72" s="2"/>
      <c r="H72" s="2"/>
      <c r="I72" s="2"/>
    </row>
    <row r="73" spans="1:9" ht="15" customHeight="1">
      <c r="A73" s="2"/>
      <c r="B73" s="2"/>
      <c r="C73" s="2"/>
      <c r="D73" s="2"/>
      <c r="E73" s="2"/>
      <c r="F73" s="2"/>
      <c r="G73" s="2"/>
      <c r="H73" s="2"/>
      <c r="I73" s="2"/>
    </row>
    <row r="74" spans="1:9" ht="15" customHeight="1">
      <c r="A74" s="2"/>
      <c r="B74" s="2"/>
      <c r="C74" s="2"/>
      <c r="D74" s="2"/>
      <c r="E74" s="2"/>
      <c r="F74" s="2"/>
      <c r="G74" s="2"/>
      <c r="H74" s="2"/>
      <c r="I74" s="2"/>
    </row>
    <row r="75" spans="1:9" ht="15" customHeight="1">
      <c r="A75" s="2"/>
      <c r="B75" s="2"/>
      <c r="C75" s="2"/>
      <c r="D75" s="2"/>
      <c r="E75" s="2"/>
      <c r="F75" s="2"/>
      <c r="G75" s="2"/>
      <c r="H75" s="2"/>
      <c r="I75" s="2"/>
    </row>
    <row r="76" spans="1:9" ht="15" customHeight="1">
      <c r="A76" s="2"/>
      <c r="B76" s="2"/>
      <c r="C76" s="2"/>
      <c r="D76" s="2"/>
      <c r="E76" s="2"/>
      <c r="F76" s="2"/>
      <c r="G76" s="2"/>
      <c r="H76" s="2"/>
      <c r="I76" s="2"/>
    </row>
    <row r="77" spans="1:9" ht="15" customHeight="1">
      <c r="A77" s="2"/>
      <c r="B77" s="2"/>
      <c r="C77" s="2"/>
      <c r="D77" s="2"/>
      <c r="E77" s="2"/>
      <c r="F77" s="2"/>
      <c r="G77" s="2"/>
      <c r="H77" s="2"/>
      <c r="I77" s="2"/>
    </row>
    <row r="78" spans="1:9" ht="15" customHeight="1">
      <c r="A78" s="2"/>
      <c r="B78" s="2"/>
      <c r="C78" s="2"/>
      <c r="D78" s="2"/>
      <c r="E78" s="2"/>
      <c r="F78" s="2"/>
      <c r="G78" s="2"/>
      <c r="H78" s="2"/>
      <c r="I78" s="2"/>
    </row>
    <row r="79" spans="1:9" ht="15" customHeight="1">
      <c r="A79" s="2"/>
      <c r="B79" s="2"/>
      <c r="C79" s="2"/>
      <c r="D79" s="2"/>
      <c r="E79" s="2"/>
      <c r="F79" s="2"/>
      <c r="G79" s="2"/>
      <c r="H79" s="2"/>
      <c r="I79" s="2"/>
    </row>
    <row r="80" spans="1:9" ht="15" customHeight="1">
      <c r="A80" s="2"/>
      <c r="B80" s="2"/>
      <c r="C80" s="2"/>
      <c r="D80" s="2"/>
      <c r="E80" s="2"/>
      <c r="F80" s="2"/>
      <c r="G80" s="2"/>
      <c r="H80" s="2"/>
      <c r="I80" s="2"/>
    </row>
    <row r="81" spans="1:9" ht="15" customHeight="1">
      <c r="A81" s="2"/>
      <c r="B81" s="2"/>
      <c r="C81" s="2"/>
      <c r="D81" s="2"/>
      <c r="E81" s="2"/>
      <c r="F81" s="2"/>
      <c r="G81" s="2"/>
      <c r="H81" s="2"/>
      <c r="I81" s="2"/>
    </row>
    <row r="82" spans="1:9" ht="15" customHeight="1">
      <c r="A82" s="2"/>
      <c r="B82" s="2"/>
      <c r="C82" s="2"/>
      <c r="D82" s="2"/>
      <c r="E82" s="2"/>
      <c r="F82" s="2"/>
      <c r="G82" s="2"/>
      <c r="H82" s="2"/>
      <c r="I82" s="2"/>
    </row>
    <row r="83" spans="1:9" ht="15" customHeight="1">
      <c r="A83" s="38"/>
      <c r="B83" s="38"/>
      <c r="C83" s="38"/>
      <c r="D83" s="38"/>
      <c r="E83" s="38"/>
      <c r="F83" s="38"/>
      <c r="G83" s="38"/>
      <c r="H83" s="38"/>
      <c r="I83" s="38"/>
    </row>
    <row r="84" spans="1:9" ht="15" customHeight="1">
      <c r="A84" s="38"/>
      <c r="B84" s="38"/>
      <c r="C84" s="38"/>
      <c r="D84" s="38"/>
      <c r="E84" s="38"/>
      <c r="F84" s="38"/>
      <c r="G84" s="38"/>
      <c r="H84" s="38"/>
      <c r="I84" s="38"/>
    </row>
    <row r="85" spans="1:9" ht="15" customHeight="1">
      <c r="A85" s="2"/>
      <c r="B85" s="2"/>
      <c r="C85" s="2"/>
      <c r="D85" s="2"/>
      <c r="E85" s="2"/>
      <c r="F85" s="2"/>
      <c r="G85" s="2"/>
      <c r="H85" s="2"/>
      <c r="I85" s="2"/>
    </row>
    <row r="86" spans="1:9" ht="15" customHeight="1">
      <c r="A86" s="2"/>
      <c r="B86" s="2"/>
      <c r="C86" s="2"/>
      <c r="D86" s="2"/>
      <c r="E86" s="2"/>
      <c r="F86" s="2"/>
      <c r="G86" s="2"/>
      <c r="H86" s="2"/>
      <c r="I86" s="2"/>
    </row>
    <row r="87" spans="1:9" ht="15" customHeight="1">
      <c r="A87" s="38"/>
      <c r="B87" s="38"/>
      <c r="C87" s="38"/>
      <c r="D87" s="38"/>
      <c r="E87" s="38"/>
      <c r="F87" s="38"/>
      <c r="G87" s="38"/>
      <c r="H87" s="38"/>
      <c r="I87" s="38"/>
    </row>
    <row r="88" spans="1:9" ht="15" customHeight="1">
      <c r="A88" s="2"/>
      <c r="B88" s="2"/>
      <c r="C88" s="2"/>
      <c r="D88" s="2"/>
      <c r="E88" s="2"/>
      <c r="F88" s="2"/>
      <c r="G88" s="2"/>
      <c r="H88" s="2"/>
      <c r="I88" s="2"/>
    </row>
    <row r="89" spans="1:9" ht="15" customHeight="1">
      <c r="A89" s="2"/>
      <c r="B89" s="2"/>
      <c r="C89" s="2"/>
      <c r="D89" s="2"/>
      <c r="E89" s="2"/>
      <c r="F89" s="2"/>
      <c r="G89" s="2"/>
      <c r="H89" s="2"/>
      <c r="I89" s="2"/>
    </row>
    <row r="90" spans="1:9" ht="15" customHeight="1">
      <c r="A90" s="2"/>
      <c r="B90" s="2"/>
      <c r="C90" s="2"/>
      <c r="D90" s="2"/>
      <c r="E90" s="2"/>
      <c r="F90" s="2"/>
      <c r="G90" s="2"/>
      <c r="H90" s="2"/>
      <c r="I90" s="2"/>
    </row>
    <row r="91" spans="1:9" ht="15" customHeight="1">
      <c r="A91" s="2"/>
      <c r="B91" s="2"/>
      <c r="C91" s="2"/>
      <c r="D91" s="2"/>
      <c r="E91" s="2"/>
      <c r="F91" s="2"/>
      <c r="G91" s="2"/>
      <c r="H91" s="2"/>
      <c r="I91" s="2"/>
    </row>
    <row r="92" spans="1:9" ht="15" customHeight="1">
      <c r="A92" s="2"/>
      <c r="B92" s="2"/>
      <c r="C92" s="2"/>
      <c r="D92" s="2"/>
      <c r="E92" s="2"/>
      <c r="F92" s="2"/>
      <c r="G92" s="2"/>
      <c r="H92" s="2"/>
      <c r="I92" s="2"/>
    </row>
    <row r="93" spans="1:9" ht="15" customHeight="1">
      <c r="A93" s="2"/>
      <c r="B93" s="2"/>
      <c r="C93" s="2"/>
      <c r="D93" s="2"/>
      <c r="E93" s="2"/>
      <c r="F93" s="2"/>
      <c r="G93" s="2"/>
      <c r="H93" s="2"/>
      <c r="I93" s="2"/>
    </row>
    <row r="94" spans="1:9" ht="15" customHeight="1">
      <c r="A94" s="2"/>
      <c r="B94" s="2"/>
      <c r="C94" s="2"/>
      <c r="D94" s="2"/>
      <c r="E94" s="2"/>
      <c r="F94" s="2"/>
      <c r="G94" s="2"/>
      <c r="H94" s="2"/>
      <c r="I94" s="2"/>
    </row>
    <row r="95" spans="1:9" ht="15" customHeight="1">
      <c r="A95" s="2"/>
      <c r="B95" s="2"/>
      <c r="C95" s="2"/>
      <c r="D95" s="2"/>
      <c r="E95" s="2"/>
      <c r="F95" s="2"/>
      <c r="G95" s="2"/>
      <c r="H95" s="2"/>
      <c r="I95" s="2"/>
    </row>
    <row r="96" spans="1:9" ht="15" customHeight="1">
      <c r="A96" s="2"/>
      <c r="B96" s="2"/>
      <c r="C96" s="2"/>
      <c r="D96" s="2"/>
      <c r="E96" s="2"/>
      <c r="F96" s="2"/>
      <c r="G96" s="2"/>
      <c r="H96" s="2"/>
      <c r="I96" s="2"/>
    </row>
    <row r="97" spans="1:9" ht="15" customHeight="1">
      <c r="A97" s="2"/>
      <c r="B97" s="2"/>
      <c r="C97" s="2"/>
      <c r="D97" s="2"/>
      <c r="E97" s="2"/>
      <c r="F97" s="2"/>
      <c r="G97" s="2"/>
      <c r="H97" s="2"/>
      <c r="I97" s="2"/>
    </row>
    <row r="98" spans="1:9" ht="15" customHeight="1">
      <c r="A98" s="2"/>
      <c r="B98" s="2"/>
      <c r="C98" s="2"/>
      <c r="D98" s="2"/>
      <c r="E98" s="2"/>
      <c r="F98" s="2"/>
      <c r="G98" s="2"/>
      <c r="H98" s="2"/>
      <c r="I98" s="2"/>
    </row>
    <row r="99" spans="1:9" ht="15" customHeight="1">
      <c r="A99" s="2"/>
      <c r="B99" s="2"/>
      <c r="C99" s="2"/>
      <c r="D99" s="2"/>
      <c r="E99" s="2"/>
      <c r="F99" s="2"/>
      <c r="G99" s="2"/>
      <c r="H99" s="2"/>
      <c r="I99" s="2"/>
    </row>
    <row r="100" spans="1:9" ht="15" customHeight="1">
      <c r="A100" s="2"/>
      <c r="B100" s="2"/>
      <c r="C100" s="2"/>
      <c r="D100" s="2"/>
      <c r="E100" s="2"/>
      <c r="F100" s="2"/>
      <c r="G100" s="2"/>
      <c r="H100" s="2"/>
      <c r="I100" s="2"/>
    </row>
    <row r="101" spans="1:9" ht="15" customHeight="1">
      <c r="A101" s="2"/>
      <c r="B101" s="2"/>
      <c r="C101" s="2"/>
      <c r="D101" s="2"/>
      <c r="E101" s="2"/>
      <c r="F101" s="2"/>
      <c r="G101" s="2"/>
      <c r="H101" s="2"/>
      <c r="I101" s="2"/>
    </row>
    <row r="102" spans="1:9" ht="15" customHeight="1">
      <c r="A102" s="2"/>
      <c r="B102" s="2"/>
      <c r="C102" s="2"/>
      <c r="D102" s="2"/>
      <c r="E102" s="2"/>
      <c r="F102" s="2"/>
      <c r="G102" s="2"/>
      <c r="H102" s="2"/>
      <c r="I102" s="2"/>
    </row>
    <row r="103" spans="1:9" ht="15" customHeight="1">
      <c r="A103" s="2"/>
      <c r="B103" s="2"/>
      <c r="C103" s="2"/>
      <c r="D103" s="2"/>
      <c r="E103" s="2"/>
      <c r="F103" s="2"/>
      <c r="G103" s="2"/>
      <c r="H103" s="2"/>
      <c r="I103" s="2"/>
    </row>
  </sheetData>
  <mergeCells count="21">
    <mergeCell ref="A67:I67"/>
    <mergeCell ref="A26:I27"/>
    <mergeCell ref="A28:I29"/>
    <mergeCell ref="A30:I32"/>
    <mergeCell ref="A45:I50"/>
    <mergeCell ref="A51:I57"/>
    <mergeCell ref="A58:I61"/>
    <mergeCell ref="A62:I66"/>
    <mergeCell ref="A33:I34"/>
    <mergeCell ref="A37:I39"/>
    <mergeCell ref="A4:I5"/>
    <mergeCell ref="A6:I6"/>
    <mergeCell ref="A7:I9"/>
    <mergeCell ref="A20:I22"/>
    <mergeCell ref="A10:I15"/>
    <mergeCell ref="A19:I19"/>
    <mergeCell ref="A16:I17"/>
    <mergeCell ref="A40:I44"/>
    <mergeCell ref="A23:I23"/>
    <mergeCell ref="A24:I25"/>
    <mergeCell ref="A35:I36"/>
  </mergeCells>
  <printOptions/>
  <pageMargins left="0.59" right="0.67" top="1" bottom="1" header="0.5" footer="0.5"/>
  <pageSetup horizontalDpi="300" verticalDpi="300" orientation="portrait" paperSize="9" r:id="rId2"/>
  <headerFooter alignWithMargins="0">
    <oddFooter>&amp;C&amp;P</oddFooter>
  </headerFooter>
  <rowBreaks count="1" manualBreakCount="1">
    <brk id="182" max="255" man="1"/>
  </rowBreaks>
  <drawing r:id="rId1"/>
</worksheet>
</file>

<file path=xl/worksheets/sheet3.xml><?xml version="1.0" encoding="utf-8"?>
<worksheet xmlns="http://schemas.openxmlformats.org/spreadsheetml/2006/main" xmlns:r="http://schemas.openxmlformats.org/officeDocument/2006/relationships">
  <dimension ref="A1:J95"/>
  <sheetViews>
    <sheetView workbookViewId="0" topLeftCell="A34">
      <selection activeCell="A1" sqref="A1:G51"/>
    </sheetView>
  </sheetViews>
  <sheetFormatPr defaultColWidth="9.140625" defaultRowHeight="12.75"/>
  <cols>
    <col min="1" max="1" width="33.140625" style="56" customWidth="1"/>
    <col min="2" max="2" width="12.7109375" style="56" bestFit="1" customWidth="1"/>
    <col min="3" max="3" width="5.57421875" style="56" customWidth="1"/>
    <col min="4" max="4" width="12.28125" style="56" customWidth="1"/>
    <col min="5" max="5" width="5.57421875" style="63" customWidth="1"/>
    <col min="6" max="6" width="13.7109375" style="56" customWidth="1"/>
    <col min="7" max="7" width="6.57421875" style="63" customWidth="1"/>
    <col min="8" max="16384" width="9.140625" style="56" customWidth="1"/>
  </cols>
  <sheetData>
    <row r="1" spans="1:7" ht="15">
      <c r="A1" s="138" t="s">
        <v>129</v>
      </c>
      <c r="B1" s="138"/>
      <c r="C1" s="138"/>
      <c r="D1" s="138"/>
      <c r="E1" s="138"/>
      <c r="F1" s="138"/>
      <c r="G1" s="138"/>
    </row>
    <row r="2" spans="1:7" ht="15">
      <c r="A2" s="54"/>
      <c r="B2" s="54"/>
      <c r="C2" s="54"/>
      <c r="D2" s="54"/>
      <c r="E2" s="54"/>
      <c r="F2" s="54"/>
      <c r="G2" s="54"/>
    </row>
    <row r="3" spans="2:7" ht="12.75">
      <c r="B3" s="139" t="s">
        <v>138</v>
      </c>
      <c r="C3" s="139"/>
      <c r="D3" s="139" t="s">
        <v>247</v>
      </c>
      <c r="E3" s="139"/>
      <c r="F3" s="139"/>
      <c r="G3" s="139"/>
    </row>
    <row r="4" spans="2:7" ht="12.75">
      <c r="B4" s="95"/>
      <c r="C4" s="58" t="s">
        <v>135</v>
      </c>
      <c r="D4" s="95"/>
      <c r="E4" s="58" t="s">
        <v>135</v>
      </c>
      <c r="F4" s="57"/>
      <c r="G4" s="57"/>
    </row>
    <row r="5" spans="1:7" ht="12.75">
      <c r="A5" s="59" t="s">
        <v>105</v>
      </c>
      <c r="B5" s="96">
        <f>SUM(B6:B10)</f>
        <v>39242.38045313929</v>
      </c>
      <c r="C5" s="61">
        <f>B5/B33*100</f>
        <v>32.97026467322222</v>
      </c>
      <c r="D5" s="96">
        <f>SUM(D6:D10)</f>
        <v>37247.7</v>
      </c>
      <c r="E5" s="61">
        <f>D5/D33*100</f>
        <v>25.39130242724482</v>
      </c>
      <c r="F5" s="60"/>
      <c r="G5" s="61"/>
    </row>
    <row r="6" spans="1:7" ht="12.75">
      <c r="A6" s="56" t="s">
        <v>36</v>
      </c>
      <c r="B6" s="97">
        <f>12692306/1936.27</f>
        <v>6555.028999054884</v>
      </c>
      <c r="C6" s="63"/>
      <c r="D6" s="97">
        <v>6557.7</v>
      </c>
      <c r="F6" s="62"/>
      <c r="G6" s="61"/>
    </row>
    <row r="7" spans="1:7" ht="12.75">
      <c r="A7" s="56" t="s">
        <v>37</v>
      </c>
      <c r="B7" s="97">
        <f>42000000/1936.27</f>
        <v>21691.189761758433</v>
      </c>
      <c r="C7" s="63"/>
      <c r="D7" s="97">
        <v>30690</v>
      </c>
      <c r="F7" s="62"/>
      <c r="G7" s="61"/>
    </row>
    <row r="8" spans="1:7" ht="12.75">
      <c r="A8" s="56" t="s">
        <v>38</v>
      </c>
      <c r="B8" s="97">
        <f>1661538/1936.27</f>
        <v>858.1127631993472</v>
      </c>
      <c r="C8" s="63"/>
      <c r="D8" s="97"/>
      <c r="F8" s="62"/>
      <c r="G8" s="61"/>
    </row>
    <row r="9" spans="1:7" ht="12.75">
      <c r="A9" s="56" t="s">
        <v>193</v>
      </c>
      <c r="B9" s="97">
        <f>19200000/1936.27</f>
        <v>9915.97246251814</v>
      </c>
      <c r="C9" s="63"/>
      <c r="D9" s="97"/>
      <c r="F9" s="62"/>
      <c r="G9" s="61"/>
    </row>
    <row r="10" spans="1:7" ht="12.75">
      <c r="A10" s="56" t="s">
        <v>39</v>
      </c>
      <c r="B10" s="97">
        <f>430000/1936.27</f>
        <v>222.0764666084792</v>
      </c>
      <c r="C10" s="63"/>
      <c r="D10" s="97"/>
      <c r="F10" s="62"/>
      <c r="G10" s="61"/>
    </row>
    <row r="11" spans="1:8" ht="12.75">
      <c r="A11" s="59" t="s">
        <v>249</v>
      </c>
      <c r="B11" s="96"/>
      <c r="C11" s="61"/>
      <c r="D11" s="96">
        <f>SUM(D12)</f>
        <v>12238.67</v>
      </c>
      <c r="E11" s="61">
        <f>D11/D33*100</f>
        <v>8.34295194810011</v>
      </c>
      <c r="F11" s="60"/>
      <c r="G11" s="61"/>
      <c r="H11" s="56">
        <v>1</v>
      </c>
    </row>
    <row r="12" spans="1:7" ht="12.75">
      <c r="A12" s="56" t="s">
        <v>250</v>
      </c>
      <c r="B12" s="97"/>
      <c r="C12" s="63"/>
      <c r="D12" s="97">
        <v>12238.67</v>
      </c>
      <c r="F12" s="62"/>
      <c r="G12" s="61"/>
    </row>
    <row r="13" spans="1:7" ht="12.75">
      <c r="A13" s="59" t="s">
        <v>108</v>
      </c>
      <c r="B13" s="96">
        <f>SUM(B14)</f>
        <v>0.7400827363952341</v>
      </c>
      <c r="C13" s="65">
        <f>B13/B33*100</f>
        <v>0.0006217951973675804</v>
      </c>
      <c r="D13" s="96">
        <f>SUM(D14)</f>
        <v>48.61</v>
      </c>
      <c r="E13" s="65">
        <f>D13/D33*100</f>
        <v>0.03313684364372487</v>
      </c>
      <c r="F13" s="60"/>
      <c r="G13" s="61"/>
    </row>
    <row r="14" spans="1:7" ht="12.75">
      <c r="A14" s="56" t="s">
        <v>109</v>
      </c>
      <c r="B14" s="97">
        <f>1433/1936.27</f>
        <v>0.7400827363952341</v>
      </c>
      <c r="C14" s="63"/>
      <c r="D14" s="97">
        <v>48.61</v>
      </c>
      <c r="F14" s="62"/>
      <c r="G14" s="61"/>
    </row>
    <row r="15" spans="1:7" ht="12.75">
      <c r="A15" s="59" t="s">
        <v>107</v>
      </c>
      <c r="B15" s="96">
        <f>SUM(B16:B17)</f>
        <v>19487.416527653688</v>
      </c>
      <c r="C15" s="61">
        <f>B15/B33*100</f>
        <v>16.372739708828455</v>
      </c>
      <c r="D15" s="96">
        <f>SUM(D16:D17)</f>
        <v>3075.47</v>
      </c>
      <c r="E15" s="61">
        <f>D15/D33*100</f>
        <v>2.09651035838236</v>
      </c>
      <c r="F15" s="60"/>
      <c r="G15" s="61"/>
    </row>
    <row r="16" spans="1:7" ht="12.75">
      <c r="A16" s="56" t="s">
        <v>253</v>
      </c>
      <c r="B16" s="97">
        <f>25016000/1936.27</f>
        <v>12919.685787622595</v>
      </c>
      <c r="C16" s="61"/>
      <c r="D16" s="97">
        <v>3075.47</v>
      </c>
      <c r="E16" s="61"/>
      <c r="F16" s="60"/>
      <c r="G16" s="61"/>
    </row>
    <row r="17" spans="1:7" ht="12.75">
      <c r="A17" s="56" t="s">
        <v>48</v>
      </c>
      <c r="B17" s="97">
        <f>12716900/1936.27</f>
        <v>6567.730740031091</v>
      </c>
      <c r="C17" s="63"/>
      <c r="D17" s="97"/>
      <c r="F17" s="62"/>
      <c r="G17" s="61"/>
    </row>
    <row r="18" spans="1:7" ht="12.75">
      <c r="A18" s="59" t="s">
        <v>49</v>
      </c>
      <c r="B18" s="96">
        <f>SUM(B19)</f>
        <v>6713.939688163325</v>
      </c>
      <c r="C18" s="61">
        <f>B18/B33*100</f>
        <v>5.640849662092495</v>
      </c>
      <c r="D18" s="96">
        <f>SUM(D19)</f>
        <v>11075.41</v>
      </c>
      <c r="E18" s="61">
        <f>D18/D33*100</f>
        <v>7.549971805392859</v>
      </c>
      <c r="F18" s="62"/>
      <c r="G18" s="61"/>
    </row>
    <row r="19" spans="1:8" ht="12.75">
      <c r="A19" s="56" t="s">
        <v>48</v>
      </c>
      <c r="B19" s="97">
        <f>13000000/1936.27</f>
        <v>6713.939688163325</v>
      </c>
      <c r="C19" s="63"/>
      <c r="D19" s="97">
        <v>11075.41</v>
      </c>
      <c r="F19" s="62"/>
      <c r="G19" s="61"/>
      <c r="H19" s="56">
        <v>2</v>
      </c>
    </row>
    <row r="20" spans="1:7" ht="12.75">
      <c r="A20" s="59" t="s">
        <v>40</v>
      </c>
      <c r="B20" s="96">
        <f>SUM(B21:B27)</f>
        <v>53206.578111523704</v>
      </c>
      <c r="C20" s="61">
        <f>B20/B33*100</f>
        <v>44.70256244491087</v>
      </c>
      <c r="D20" s="96">
        <f>SUM(D21:D27)</f>
        <v>82993.97</v>
      </c>
      <c r="E20" s="61">
        <f>D20/D33*100</f>
        <v>56.57597628599039</v>
      </c>
      <c r="F20" s="62"/>
      <c r="G20" s="61"/>
    </row>
    <row r="21" spans="1:8" ht="12.75">
      <c r="A21" s="56" t="s">
        <v>43</v>
      </c>
      <c r="B21" s="97">
        <f>1200000/1936.27</f>
        <v>619.7482789073838</v>
      </c>
      <c r="C21" s="63"/>
      <c r="D21" s="97">
        <v>2501.35</v>
      </c>
      <c r="F21" s="62"/>
      <c r="G21" s="61"/>
      <c r="H21" s="56">
        <v>3</v>
      </c>
    </row>
    <row r="22" spans="1:7" ht="12.75">
      <c r="A22" s="56" t="s">
        <v>251</v>
      </c>
      <c r="B22" s="97"/>
      <c r="C22" s="63"/>
      <c r="D22" s="97">
        <v>961.54</v>
      </c>
      <c r="F22" s="62"/>
      <c r="G22" s="61"/>
    </row>
    <row r="23" spans="1:7" ht="12.75">
      <c r="A23" s="56" t="s">
        <v>252</v>
      </c>
      <c r="B23" s="97">
        <f>19628845/1936.27</f>
        <v>10137.452421408172</v>
      </c>
      <c r="C23" s="63"/>
      <c r="D23" s="97">
        <v>8401.2</v>
      </c>
      <c r="F23" s="62"/>
      <c r="G23" s="61"/>
    </row>
    <row r="24" spans="1:7" ht="12.75">
      <c r="A24" s="56" t="s">
        <v>47</v>
      </c>
      <c r="B24" s="97">
        <f>37465521/1936.27</f>
        <v>19349.326798432037</v>
      </c>
      <c r="C24" s="63"/>
      <c r="D24" s="97">
        <v>32244.41</v>
      </c>
      <c r="F24" s="62"/>
      <c r="G24" s="61"/>
    </row>
    <row r="25" spans="1:7" ht="12.75">
      <c r="A25" s="56" t="s">
        <v>45</v>
      </c>
      <c r="B25" s="97">
        <f>13798070/1936.27</f>
        <v>7126.108445619671</v>
      </c>
      <c r="C25" s="63"/>
      <c r="D25" s="97"/>
      <c r="F25" s="99"/>
      <c r="G25" s="61"/>
    </row>
    <row r="26" spans="1:8" ht="12.75">
      <c r="A26" s="56" t="s">
        <v>254</v>
      </c>
      <c r="B26" s="97"/>
      <c r="C26" s="63"/>
      <c r="D26" s="97">
        <v>2496</v>
      </c>
      <c r="F26" s="62"/>
      <c r="G26" s="61"/>
      <c r="H26" s="56">
        <v>4</v>
      </c>
    </row>
    <row r="27" spans="1:7" ht="12.75">
      <c r="A27" s="56" t="s">
        <v>46</v>
      </c>
      <c r="B27" s="97">
        <f>30929865/1936.27</f>
        <v>15973.94216715644</v>
      </c>
      <c r="C27" s="63"/>
      <c r="D27" s="97">
        <v>36389.47</v>
      </c>
      <c r="F27" s="62"/>
      <c r="G27" s="61"/>
    </row>
    <row r="28" spans="1:7" ht="12.75">
      <c r="A28" s="59" t="s">
        <v>128</v>
      </c>
      <c r="B28" s="96">
        <f>SUM(B29:B32)</f>
        <v>372.4981536665857</v>
      </c>
      <c r="C28" s="61">
        <f>B28/B33*100</f>
        <v>0.3129617157486035</v>
      </c>
      <c r="D28" s="96">
        <f>SUM(D29:D32)</f>
        <v>14.89</v>
      </c>
      <c r="E28" s="65">
        <f>D28/D33*100</f>
        <v>0.010150331245732634</v>
      </c>
      <c r="G28" s="61"/>
    </row>
    <row r="29" spans="1:7" ht="12.75">
      <c r="A29" s="56" t="s">
        <v>41</v>
      </c>
      <c r="B29" s="98">
        <f>-7/1936.27</f>
        <v>-0.0036151982936264053</v>
      </c>
      <c r="C29" s="63"/>
      <c r="D29" s="98"/>
      <c r="F29" s="62"/>
      <c r="G29" s="61"/>
    </row>
    <row r="30" spans="1:7" ht="12.75">
      <c r="A30" s="56" t="s">
        <v>106</v>
      </c>
      <c r="B30" s="97">
        <f>216719/1936.27</f>
        <v>111.92602271377443</v>
      </c>
      <c r="C30" s="63"/>
      <c r="D30" s="97">
        <v>2.09</v>
      </c>
      <c r="F30" s="62"/>
      <c r="G30" s="61"/>
    </row>
    <row r="31" spans="1:6" ht="12.75">
      <c r="A31" s="56" t="s">
        <v>42</v>
      </c>
      <c r="B31" s="97">
        <f>4545/1936.27</f>
        <v>2.347296606361716</v>
      </c>
      <c r="C31" s="63"/>
      <c r="D31" s="97">
        <v>12.8</v>
      </c>
      <c r="F31" s="62"/>
    </row>
    <row r="32" spans="1:6" ht="12.75">
      <c r="A32" s="56" t="s">
        <v>44</v>
      </c>
      <c r="B32" s="97">
        <f>500000/1936.27</f>
        <v>258.2284495447432</v>
      </c>
      <c r="C32" s="63"/>
      <c r="D32" s="97"/>
      <c r="F32" s="62"/>
    </row>
    <row r="33" spans="2:7" ht="12.75">
      <c r="B33" s="96">
        <f>B28+B20+B15+B13+B5+B18</f>
        <v>119023.55301688299</v>
      </c>
      <c r="C33" s="61">
        <f>SUM(C5:C32)</f>
        <v>100</v>
      </c>
      <c r="D33" s="96">
        <f>D28+D20+D18+D15+D13+D11+D5</f>
        <v>146694.72</v>
      </c>
      <c r="E33" s="61">
        <f>SUM(E5:E32)</f>
        <v>100</v>
      </c>
      <c r="F33" s="96"/>
      <c r="G33" s="61"/>
    </row>
    <row r="34" spans="2:8" ht="12.75">
      <c r="B34" s="60"/>
      <c r="C34" s="64"/>
      <c r="D34" s="60"/>
      <c r="E34" s="61"/>
      <c r="F34" s="60"/>
      <c r="G34" s="61"/>
      <c r="H34" s="56">
        <v>5</v>
      </c>
    </row>
    <row r="35" spans="2:7" ht="12.75">
      <c r="B35" s="60"/>
      <c r="C35" s="64"/>
      <c r="D35" s="60"/>
      <c r="E35" s="61"/>
      <c r="F35" s="60"/>
      <c r="G35" s="61"/>
    </row>
    <row r="37" ht="12.75">
      <c r="J37" s="97">
        <f>D33-146644.02</f>
        <v>50.70000000001164</v>
      </c>
    </row>
    <row r="41" spans="2:6" ht="12.75">
      <c r="B41" s="62"/>
      <c r="D41" s="62"/>
      <c r="F41" s="62"/>
    </row>
    <row r="42" spans="2:6" ht="12.75">
      <c r="B42" s="62"/>
      <c r="D42" s="62"/>
      <c r="F42" s="62"/>
    </row>
    <row r="43" spans="2:6" ht="12.75">
      <c r="B43" s="62"/>
      <c r="D43" s="62"/>
      <c r="F43" s="62"/>
    </row>
    <row r="44" spans="2:6" ht="12.75">
      <c r="B44" s="62"/>
      <c r="D44" s="62"/>
      <c r="F44" s="62"/>
    </row>
    <row r="45" spans="2:6" ht="12.75">
      <c r="B45" s="62"/>
      <c r="D45" s="62"/>
      <c r="F45" s="62"/>
    </row>
    <row r="46" spans="2:6" ht="12.75">
      <c r="B46" s="62"/>
      <c r="D46" s="62"/>
      <c r="F46" s="62"/>
    </row>
    <row r="47" spans="2:6" ht="12.75">
      <c r="B47" s="62"/>
      <c r="D47" s="62"/>
      <c r="F47" s="62"/>
    </row>
    <row r="48" spans="2:6" ht="12.75">
      <c r="B48" s="62"/>
      <c r="D48" s="62"/>
      <c r="F48" s="62"/>
    </row>
    <row r="49" spans="2:6" ht="12.75">
      <c r="B49" s="62"/>
      <c r="D49" s="62"/>
      <c r="F49" s="62"/>
    </row>
    <row r="50" spans="2:6" ht="12.75">
      <c r="B50" s="62"/>
      <c r="D50" s="62"/>
      <c r="F50" s="62"/>
    </row>
    <row r="51" spans="2:6" ht="12.75">
      <c r="B51" s="62"/>
      <c r="D51" s="62"/>
      <c r="F51" s="62"/>
    </row>
    <row r="52" spans="2:6" ht="12.75">
      <c r="B52" s="62"/>
      <c r="D52" s="62"/>
      <c r="F52" s="62"/>
    </row>
    <row r="53" spans="2:6" ht="12.75">
      <c r="B53" s="62"/>
      <c r="D53" s="62"/>
      <c r="F53" s="62"/>
    </row>
    <row r="54" spans="2:6" ht="12.75">
      <c r="B54" s="62"/>
      <c r="D54" s="62"/>
      <c r="F54" s="62"/>
    </row>
    <row r="55" spans="1:7" ht="12.75">
      <c r="A55" s="59"/>
      <c r="B55" s="60"/>
      <c r="C55" s="59"/>
      <c r="D55" s="60"/>
      <c r="E55" s="61"/>
      <c r="F55" s="60"/>
      <c r="G55" s="61"/>
    </row>
    <row r="56" spans="2:6" ht="12.75">
      <c r="B56" s="62"/>
      <c r="D56" s="62"/>
      <c r="F56" s="62"/>
    </row>
    <row r="57" spans="1:7" ht="12.75">
      <c r="A57" s="59"/>
      <c r="B57" s="60"/>
      <c r="C57" s="59"/>
      <c r="D57" s="60"/>
      <c r="E57" s="61"/>
      <c r="F57" s="60"/>
      <c r="G57" s="61"/>
    </row>
    <row r="58" spans="2:6" ht="12.75">
      <c r="B58" s="62"/>
      <c r="D58" s="62"/>
      <c r="F58" s="62"/>
    </row>
    <row r="59" spans="2:6" ht="12.75">
      <c r="B59" s="62"/>
      <c r="D59" s="62"/>
      <c r="F59" s="62"/>
    </row>
    <row r="60" spans="2:6" ht="12.75">
      <c r="B60" s="62"/>
      <c r="D60" s="62"/>
      <c r="F60" s="62"/>
    </row>
    <row r="61" spans="2:6" ht="12.75">
      <c r="B61" s="62"/>
      <c r="D61" s="62"/>
      <c r="F61" s="62"/>
    </row>
    <row r="62" spans="4:6" ht="12.75">
      <c r="D62" s="62"/>
      <c r="F62" s="62"/>
    </row>
    <row r="63" spans="4:6" ht="12.75">
      <c r="D63" s="62"/>
      <c r="F63" s="62"/>
    </row>
    <row r="64" spans="2:6" ht="12.75">
      <c r="B64" s="62"/>
      <c r="D64" s="62"/>
      <c r="F64" s="62"/>
    </row>
    <row r="65" spans="1:7" ht="12.75">
      <c r="A65" s="59"/>
      <c r="B65" s="60"/>
      <c r="C65" s="59"/>
      <c r="D65" s="60"/>
      <c r="E65" s="61"/>
      <c r="F65" s="60"/>
      <c r="G65" s="61"/>
    </row>
    <row r="66" spans="2:6" ht="12.75">
      <c r="B66" s="62"/>
      <c r="D66" s="62"/>
      <c r="F66" s="62"/>
    </row>
    <row r="67" spans="2:6" ht="12.75">
      <c r="B67" s="62"/>
      <c r="D67" s="62"/>
      <c r="F67" s="62"/>
    </row>
    <row r="68" spans="2:6" ht="12.75">
      <c r="B68" s="62"/>
      <c r="D68" s="62"/>
      <c r="F68" s="62"/>
    </row>
    <row r="69" spans="2:6" ht="12.75">
      <c r="B69" s="62"/>
      <c r="D69" s="62"/>
      <c r="F69" s="62"/>
    </row>
    <row r="70" spans="2:6" ht="12.75">
      <c r="B70" s="62"/>
      <c r="D70" s="62"/>
      <c r="F70" s="62"/>
    </row>
    <row r="71" spans="2:6" ht="12.75">
      <c r="B71" s="62"/>
      <c r="D71" s="62"/>
      <c r="F71" s="62"/>
    </row>
    <row r="72" spans="2:6" ht="12.75">
      <c r="B72" s="62"/>
      <c r="D72" s="62"/>
      <c r="F72" s="62"/>
    </row>
    <row r="73" spans="2:6" ht="12.75">
      <c r="B73" s="62"/>
      <c r="D73" s="62"/>
      <c r="F73" s="62"/>
    </row>
    <row r="74" spans="2:6" ht="12.75">
      <c r="B74" s="62"/>
      <c r="D74" s="62"/>
      <c r="F74" s="62"/>
    </row>
    <row r="75" spans="2:6" ht="12.75">
      <c r="B75" s="62"/>
      <c r="D75" s="62"/>
      <c r="F75" s="62"/>
    </row>
    <row r="76" spans="2:6" ht="12.75">
      <c r="B76" s="62"/>
      <c r="D76" s="62"/>
      <c r="F76" s="62"/>
    </row>
    <row r="77" spans="2:6" ht="12.75">
      <c r="B77" s="62"/>
      <c r="D77" s="62"/>
      <c r="F77" s="62"/>
    </row>
    <row r="78" spans="2:6" ht="12.75">
      <c r="B78" s="62"/>
      <c r="D78" s="62"/>
      <c r="F78" s="62"/>
    </row>
    <row r="79" spans="2:6" ht="12.75">
      <c r="B79" s="62"/>
      <c r="D79" s="62"/>
      <c r="F79" s="62"/>
    </row>
    <row r="80" spans="2:6" ht="12.75">
      <c r="B80" s="62"/>
      <c r="D80" s="62"/>
      <c r="F80" s="62"/>
    </row>
    <row r="81" spans="2:6" ht="12.75">
      <c r="B81" s="62"/>
      <c r="D81" s="62"/>
      <c r="F81" s="62"/>
    </row>
    <row r="82" spans="2:6" ht="12.75">
      <c r="B82" s="62"/>
      <c r="D82" s="62"/>
      <c r="F82" s="62"/>
    </row>
    <row r="83" spans="2:6" ht="12.75">
      <c r="B83" s="62"/>
      <c r="D83" s="62"/>
      <c r="F83" s="62"/>
    </row>
    <row r="84" spans="2:6" ht="12.75">
      <c r="B84" s="62"/>
      <c r="D84" s="62"/>
      <c r="F84" s="62"/>
    </row>
    <row r="85" spans="2:6" ht="12.75">
      <c r="B85" s="62"/>
      <c r="D85" s="62"/>
      <c r="F85" s="62"/>
    </row>
    <row r="86" spans="2:6" ht="12.75">
      <c r="B86" s="62"/>
      <c r="D86" s="62"/>
      <c r="F86" s="62"/>
    </row>
    <row r="87" spans="2:6" ht="12.75">
      <c r="B87" s="62"/>
      <c r="D87" s="62"/>
      <c r="F87" s="62"/>
    </row>
    <row r="88" spans="2:6" ht="12.75">
      <c r="B88" s="62"/>
      <c r="D88" s="62"/>
      <c r="F88" s="62"/>
    </row>
    <row r="89" spans="2:6" ht="12.75">
      <c r="B89" s="62"/>
      <c r="D89" s="62"/>
      <c r="F89" s="62"/>
    </row>
    <row r="90" spans="2:6" ht="12.75">
      <c r="B90" s="62"/>
      <c r="D90" s="62"/>
      <c r="F90" s="62"/>
    </row>
    <row r="91" spans="2:6" ht="12.75">
      <c r="B91" s="62"/>
      <c r="D91" s="62"/>
      <c r="F91" s="62"/>
    </row>
    <row r="92" spans="2:6" ht="12.75">
      <c r="B92" s="62"/>
      <c r="D92" s="62"/>
      <c r="F92" s="62"/>
    </row>
    <row r="93" spans="2:6" ht="12.75">
      <c r="B93" s="62"/>
      <c r="D93" s="62"/>
      <c r="F93" s="62"/>
    </row>
    <row r="94" spans="4:6" ht="12.75">
      <c r="D94" s="62"/>
      <c r="F94" s="62"/>
    </row>
    <row r="95" spans="1:7" ht="12.75">
      <c r="A95" s="59"/>
      <c r="B95" s="60"/>
      <c r="C95" s="59"/>
      <c r="D95" s="60"/>
      <c r="E95" s="66"/>
      <c r="F95" s="60"/>
      <c r="G95" s="66"/>
    </row>
  </sheetData>
  <mergeCells count="4">
    <mergeCell ref="A1:G1"/>
    <mergeCell ref="B3:C3"/>
    <mergeCell ref="F3:G3"/>
    <mergeCell ref="D3:E3"/>
  </mergeCells>
  <printOptions/>
  <pageMargins left="0.75" right="0.5" top="0.41" bottom="0.74" header="0.34" footer="0.63"/>
  <pageSetup horizontalDpi="600" verticalDpi="600" orientation="portrait" paperSize="9" r:id="rId2"/>
  <headerFooter alignWithMargins="0">
    <oddFooter>&amp;C&amp;P</oddFooter>
  </headerFooter>
  <rowBreaks count="1" manualBreakCount="1">
    <brk id="187" max="255" man="1"/>
  </rowBreaks>
  <drawing r:id="rId1"/>
</worksheet>
</file>

<file path=xl/worksheets/sheet4.xml><?xml version="1.0" encoding="utf-8"?>
<worksheet xmlns="http://schemas.openxmlformats.org/spreadsheetml/2006/main" xmlns:r="http://schemas.openxmlformats.org/officeDocument/2006/relationships">
  <dimension ref="B3:H95"/>
  <sheetViews>
    <sheetView workbookViewId="0" topLeftCell="A25">
      <selection activeCell="B3" sqref="B3:F26"/>
    </sheetView>
  </sheetViews>
  <sheetFormatPr defaultColWidth="9.140625" defaultRowHeight="12.75" customHeight="1"/>
  <cols>
    <col min="1" max="1" width="9.140625" style="9" customWidth="1"/>
    <col min="2" max="2" width="7.00390625" style="9" customWidth="1"/>
    <col min="3" max="3" width="25.8515625" style="9" bestFit="1" customWidth="1"/>
    <col min="4" max="4" width="15.421875" style="9" bestFit="1" customWidth="1"/>
    <col min="5" max="5" width="12.7109375" style="9" customWidth="1"/>
    <col min="6" max="6" width="13.28125" style="9" customWidth="1"/>
    <col min="7" max="16384" width="9.140625" style="9" customWidth="1"/>
  </cols>
  <sheetData>
    <row r="3" spans="2:6" ht="30.75" customHeight="1">
      <c r="B3" s="130" t="s">
        <v>26</v>
      </c>
      <c r="C3" s="130"/>
      <c r="D3" s="130"/>
      <c r="E3" s="130"/>
      <c r="F3" s="130"/>
    </row>
    <row r="4" spans="2:6" ht="12.75" customHeight="1">
      <c r="B4" s="53"/>
      <c r="C4" s="67"/>
      <c r="D4" s="67"/>
      <c r="E4" s="140"/>
      <c r="F4" s="140"/>
    </row>
    <row r="5" spans="2:6" ht="12.75" customHeight="1">
      <c r="B5" s="53"/>
      <c r="C5" s="137" t="s">
        <v>138</v>
      </c>
      <c r="D5" s="137"/>
      <c r="E5" s="137"/>
      <c r="F5" s="53" t="s">
        <v>247</v>
      </c>
    </row>
    <row r="6" spans="2:6" ht="12.75" customHeight="1">
      <c r="B6" s="69" t="s">
        <v>169</v>
      </c>
      <c r="C6" s="108" t="s">
        <v>170</v>
      </c>
      <c r="D6" s="100">
        <f>ricavi!B33</f>
        <v>119023.55301688299</v>
      </c>
      <c r="E6" s="108"/>
      <c r="F6" s="100">
        <f>ricavi!D33</f>
        <v>146694.72</v>
      </c>
    </row>
    <row r="7" spans="2:6" ht="12.75" customHeight="1">
      <c r="B7" s="53"/>
      <c r="C7" s="71" t="s">
        <v>171</v>
      </c>
      <c r="D7" s="101"/>
      <c r="F7" s="101"/>
    </row>
    <row r="8" spans="2:6" ht="12.75" customHeight="1">
      <c r="B8" s="53"/>
      <c r="C8" s="68" t="s">
        <v>55</v>
      </c>
      <c r="D8" s="101">
        <f>-4909942/1936.27</f>
        <v>-2535.7734200292316</v>
      </c>
      <c r="F8" s="101">
        <v>-1180.8</v>
      </c>
    </row>
    <row r="9" spans="2:6" ht="12.75" customHeight="1">
      <c r="B9" s="53"/>
      <c r="C9" s="68" t="s">
        <v>50</v>
      </c>
      <c r="D9" s="101">
        <f>-552666/1936.27</f>
        <v>-285.42816859219016</v>
      </c>
      <c r="F9" s="101">
        <v>-306.17</v>
      </c>
    </row>
    <row r="10" spans="2:6" ht="12.75" customHeight="1">
      <c r="B10" s="53"/>
      <c r="C10" s="68" t="s">
        <v>172</v>
      </c>
      <c r="D10" s="101">
        <f>-4339770/1936.27</f>
        <v>-2241.3041569615807</v>
      </c>
      <c r="F10" s="101">
        <v>-837.37</v>
      </c>
    </row>
    <row r="11" spans="2:6" ht="12.75" customHeight="1">
      <c r="B11" s="73" t="s">
        <v>173</v>
      </c>
      <c r="C11" s="71" t="s">
        <v>174</v>
      </c>
      <c r="D11" s="102">
        <f>SUM(D8:D10)</f>
        <v>-5062.505745583003</v>
      </c>
      <c r="F11" s="102">
        <f>SUM(F8:F10)</f>
        <v>-2324.34</v>
      </c>
    </row>
    <row r="12" spans="2:6" ht="12.75" customHeight="1">
      <c r="B12" s="53"/>
      <c r="D12" s="101"/>
      <c r="F12" s="101"/>
    </row>
    <row r="13" spans="2:6" ht="12.75" customHeight="1">
      <c r="B13" s="53"/>
      <c r="C13" s="68"/>
      <c r="D13" s="101"/>
      <c r="F13" s="101"/>
    </row>
    <row r="14" spans="2:6" ht="12.75" customHeight="1">
      <c r="B14" s="53"/>
      <c r="C14" s="68"/>
      <c r="D14" s="101"/>
      <c r="F14" s="101"/>
    </row>
    <row r="15" spans="2:6" ht="12.75" customHeight="1">
      <c r="B15" s="70" t="s">
        <v>220</v>
      </c>
      <c r="C15" s="70" t="s">
        <v>175</v>
      </c>
      <c r="D15" s="103">
        <f>D6+D11</f>
        <v>113961.04727129999</v>
      </c>
      <c r="E15" s="103"/>
      <c r="F15" s="103">
        <f>F6+F11</f>
        <v>144370.38</v>
      </c>
    </row>
    <row r="16" spans="2:6" ht="12.75" customHeight="1">
      <c r="B16" s="53"/>
      <c r="D16" s="101"/>
      <c r="F16" s="101"/>
    </row>
    <row r="17" spans="2:7" ht="15" customHeight="1">
      <c r="B17" s="75" t="s">
        <v>176</v>
      </c>
      <c r="C17" s="76" t="s">
        <v>177</v>
      </c>
      <c r="D17" s="100">
        <f>D15+D16</f>
        <v>113961.04727129999</v>
      </c>
      <c r="E17" s="100"/>
      <c r="F17" s="100">
        <f>F15+F16</f>
        <v>144370.38</v>
      </c>
      <c r="G17" s="74"/>
    </row>
    <row r="18" spans="2:7" ht="15" customHeight="1">
      <c r="B18" s="77" t="s">
        <v>178</v>
      </c>
      <c r="C18" s="78" t="s">
        <v>179</v>
      </c>
      <c r="D18" s="101"/>
      <c r="F18" s="101"/>
      <c r="G18" s="72"/>
    </row>
    <row r="19" spans="2:6" ht="15" customHeight="1">
      <c r="B19" s="53"/>
      <c r="C19" s="9" t="s">
        <v>180</v>
      </c>
      <c r="D19" s="101">
        <f>-663200/1936.27</f>
        <v>-342.51421547614746</v>
      </c>
      <c r="F19" s="101">
        <v>-342.51</v>
      </c>
    </row>
    <row r="20" spans="2:6" ht="15" customHeight="1">
      <c r="B20" s="53"/>
      <c r="C20" s="9" t="s">
        <v>181</v>
      </c>
      <c r="D20" s="101">
        <f>-409200/1936.27</f>
        <v>-211.33416310741788</v>
      </c>
      <c r="F20" s="101">
        <v>-172.91</v>
      </c>
    </row>
    <row r="21" spans="2:6" ht="15" customHeight="1">
      <c r="B21" s="53"/>
      <c r="C21" s="9" t="s">
        <v>130</v>
      </c>
      <c r="D21" s="101">
        <f>-2275427/1936.27</f>
        <v>-1175.159972524493</v>
      </c>
      <c r="F21" s="101">
        <v>-1397.84</v>
      </c>
    </row>
    <row r="22" spans="2:6" ht="15" customHeight="1">
      <c r="B22" s="53"/>
      <c r="C22" s="9" t="s">
        <v>51</v>
      </c>
      <c r="D22" s="101">
        <f>-3154434/1936.27</f>
        <v>-1629.1292020224453</v>
      </c>
      <c r="F22" s="101">
        <v>-3258.26</v>
      </c>
    </row>
    <row r="23" spans="2:6" ht="15" customHeight="1">
      <c r="B23" s="53"/>
      <c r="C23" s="9" t="s">
        <v>255</v>
      </c>
      <c r="D23" s="101"/>
      <c r="F23" s="101">
        <v>-1571.7</v>
      </c>
    </row>
    <row r="24" spans="2:6" ht="15" customHeight="1">
      <c r="B24" s="53"/>
      <c r="C24" s="9" t="s">
        <v>52</v>
      </c>
      <c r="D24" s="101">
        <f>-1500000/1936.27</f>
        <v>-774.6853486342297</v>
      </c>
      <c r="F24" s="101">
        <v>-731.65</v>
      </c>
    </row>
    <row r="25" spans="4:6" ht="12.75" customHeight="1">
      <c r="D25" s="101"/>
      <c r="F25" s="101"/>
    </row>
    <row r="26" spans="2:7" ht="12.75" customHeight="1">
      <c r="B26" s="76" t="s">
        <v>221</v>
      </c>
      <c r="C26" s="79" t="s">
        <v>182</v>
      </c>
      <c r="D26" s="104">
        <f>SUM(D17:D24)</f>
        <v>109828.22436953527</v>
      </c>
      <c r="E26" s="104"/>
      <c r="F26" s="104">
        <f>SUM(F17:F24)</f>
        <v>136895.50999999998</v>
      </c>
      <c r="G26" s="80"/>
    </row>
    <row r="48" spans="3:6" ht="12.75" customHeight="1">
      <c r="C48" s="53"/>
      <c r="F48" s="81"/>
    </row>
    <row r="49" spans="2:8" ht="12.75" customHeight="1">
      <c r="B49" s="53"/>
      <c r="C49" s="53"/>
      <c r="D49" s="53"/>
      <c r="E49" s="53"/>
      <c r="F49" s="81"/>
      <c r="G49" s="53"/>
      <c r="H49" s="53"/>
    </row>
    <row r="50" spans="2:8" ht="12.75" customHeight="1">
      <c r="B50" s="82"/>
      <c r="D50" s="74"/>
      <c r="E50" s="82"/>
      <c r="F50" s="72"/>
      <c r="G50" s="74"/>
      <c r="H50" s="82"/>
    </row>
    <row r="51" spans="3:6" ht="12.75" customHeight="1">
      <c r="C51" s="72"/>
      <c r="F51" s="72"/>
    </row>
    <row r="52" spans="3:6" ht="12.75" customHeight="1">
      <c r="C52" s="72"/>
      <c r="F52" s="72"/>
    </row>
    <row r="53" spans="3:6" ht="12.75" customHeight="1">
      <c r="C53" s="72"/>
      <c r="F53" s="72"/>
    </row>
    <row r="54" spans="3:6" ht="12.75" customHeight="1">
      <c r="C54" s="72"/>
      <c r="F54" s="72"/>
    </row>
    <row r="55" spans="3:6" ht="12.75" customHeight="1">
      <c r="C55" s="72"/>
      <c r="F55" s="72"/>
    </row>
    <row r="56" spans="3:6" ht="12.75" customHeight="1">
      <c r="C56" s="72"/>
      <c r="F56" s="72"/>
    </row>
    <row r="57" spans="2:8" ht="12.75" customHeight="1">
      <c r="B57" s="82"/>
      <c r="D57" s="74"/>
      <c r="E57" s="82"/>
      <c r="F57" s="72"/>
      <c r="G57" s="74"/>
      <c r="H57" s="82"/>
    </row>
    <row r="58" spans="3:6" ht="12.75" customHeight="1">
      <c r="C58" s="72"/>
      <c r="F58" s="72"/>
    </row>
    <row r="59" spans="3:6" ht="12.75" customHeight="1">
      <c r="C59" s="72"/>
      <c r="F59" s="72"/>
    </row>
    <row r="60" spans="3:6" ht="12.75" customHeight="1">
      <c r="C60" s="72"/>
      <c r="F60" s="72"/>
    </row>
    <row r="61" spans="3:6" ht="12.75" customHeight="1">
      <c r="C61" s="72"/>
      <c r="F61" s="72"/>
    </row>
    <row r="62" spans="3:6" ht="12.75" customHeight="1">
      <c r="C62" s="72"/>
      <c r="F62" s="72"/>
    </row>
    <row r="63" spans="2:8" ht="12.75" customHeight="1">
      <c r="B63" s="82"/>
      <c r="D63" s="74"/>
      <c r="E63" s="82"/>
      <c r="F63" s="72"/>
      <c r="G63" s="74"/>
      <c r="H63" s="82"/>
    </row>
    <row r="64" spans="3:6" ht="12.75" customHeight="1">
      <c r="C64" s="72"/>
      <c r="F64" s="72"/>
    </row>
    <row r="65" spans="2:6" ht="12.75" customHeight="1">
      <c r="B65" s="82"/>
      <c r="D65" s="74"/>
      <c r="E65" s="82"/>
      <c r="F65" s="72"/>
    </row>
    <row r="66" spans="3:6" ht="12.75" customHeight="1">
      <c r="C66" s="72"/>
      <c r="E66" s="82"/>
      <c r="F66" s="72"/>
    </row>
    <row r="67" spans="2:8" ht="12.75" customHeight="1">
      <c r="B67" s="82"/>
      <c r="D67" s="74"/>
      <c r="E67" s="82"/>
      <c r="F67" s="72"/>
      <c r="G67" s="74"/>
      <c r="H67" s="82"/>
    </row>
    <row r="68" spans="3:6" ht="12.75" customHeight="1">
      <c r="C68" s="72"/>
      <c r="F68" s="72"/>
    </row>
    <row r="69" spans="2:8" ht="12.75" customHeight="1">
      <c r="B69" s="82"/>
      <c r="D69" s="74"/>
      <c r="E69" s="82"/>
      <c r="F69" s="72"/>
      <c r="G69" s="74"/>
      <c r="H69" s="82"/>
    </row>
    <row r="70" spans="2:8" ht="12.75" customHeight="1">
      <c r="B70" s="83"/>
      <c r="C70" s="84"/>
      <c r="D70" s="85"/>
      <c r="E70" s="84"/>
      <c r="F70" s="86"/>
      <c r="G70" s="85"/>
      <c r="H70" s="84"/>
    </row>
    <row r="71" spans="2:8" ht="12.75" customHeight="1">
      <c r="B71" s="78"/>
      <c r="C71" s="78"/>
      <c r="D71" s="87"/>
      <c r="E71" s="78"/>
      <c r="F71" s="72"/>
      <c r="G71" s="87"/>
      <c r="H71" s="78"/>
    </row>
    <row r="72" spans="3:6" ht="12.75" customHeight="1">
      <c r="C72" s="72"/>
      <c r="F72" s="72"/>
    </row>
    <row r="73" spans="3:6" ht="12.75" customHeight="1">
      <c r="C73" s="72"/>
      <c r="F73" s="72"/>
    </row>
    <row r="74" spans="3:6" ht="12.75" customHeight="1">
      <c r="C74" s="72"/>
      <c r="F74" s="72"/>
    </row>
    <row r="75" spans="3:6" ht="12.75" customHeight="1">
      <c r="C75" s="72"/>
      <c r="F75" s="72"/>
    </row>
    <row r="76" spans="3:6" ht="12.75" customHeight="1">
      <c r="C76" s="72"/>
      <c r="F76" s="72"/>
    </row>
    <row r="77" spans="3:6" ht="12.75" customHeight="1">
      <c r="C77" s="72"/>
      <c r="F77" s="72"/>
    </row>
    <row r="78" spans="3:6" ht="12.75" customHeight="1">
      <c r="C78" s="72"/>
      <c r="F78" s="72"/>
    </row>
    <row r="79" spans="3:6" ht="12.75" customHeight="1">
      <c r="C79" s="72"/>
      <c r="F79" s="72"/>
    </row>
    <row r="80" spans="2:8" ht="12.75" customHeight="1">
      <c r="B80" s="82"/>
      <c r="D80" s="74"/>
      <c r="E80" s="82"/>
      <c r="F80" s="72"/>
      <c r="G80" s="88"/>
      <c r="H80" s="82"/>
    </row>
    <row r="81" spans="3:6" ht="12.75" customHeight="1">
      <c r="C81" s="72"/>
      <c r="F81" s="72"/>
    </row>
    <row r="82" spans="3:7" ht="12.75" customHeight="1">
      <c r="C82" s="72"/>
      <c r="F82" s="72"/>
      <c r="G82" s="72"/>
    </row>
    <row r="83" spans="3:6" ht="12.75" customHeight="1">
      <c r="C83" s="72"/>
      <c r="F83" s="72"/>
    </row>
    <row r="84" spans="3:6" ht="12.75" customHeight="1">
      <c r="C84" s="72"/>
      <c r="F84" s="72"/>
    </row>
    <row r="85" spans="3:6" ht="12.75" customHeight="1">
      <c r="C85" s="72"/>
      <c r="F85" s="72"/>
    </row>
    <row r="86" spans="3:7" ht="12.75" customHeight="1">
      <c r="C86" s="72"/>
      <c r="F86" s="72"/>
      <c r="G86" s="72"/>
    </row>
    <row r="87" spans="3:6" ht="12.75" customHeight="1">
      <c r="C87" s="72"/>
      <c r="F87" s="72"/>
    </row>
    <row r="88" spans="3:7" ht="12.75" customHeight="1">
      <c r="C88" s="72"/>
      <c r="F88" s="72"/>
      <c r="G88" s="72"/>
    </row>
    <row r="89" spans="3:6" ht="12.75" customHeight="1">
      <c r="C89" s="72"/>
      <c r="F89" s="72"/>
    </row>
    <row r="90" spans="3:6" ht="12.75" customHeight="1">
      <c r="C90" s="72"/>
      <c r="F90" s="72"/>
    </row>
    <row r="91" spans="3:6" ht="12.75" customHeight="1">
      <c r="C91" s="72"/>
      <c r="F91" s="72"/>
    </row>
    <row r="92" spans="3:6" ht="12.75" customHeight="1">
      <c r="C92" s="72"/>
      <c r="F92" s="72"/>
    </row>
    <row r="93" spans="3:7" ht="12.75" customHeight="1">
      <c r="C93" s="72"/>
      <c r="F93" s="72"/>
      <c r="G93" s="72"/>
    </row>
    <row r="94" spans="3:7" ht="12.75" customHeight="1">
      <c r="C94" s="72"/>
      <c r="F94" s="72"/>
      <c r="G94" s="72"/>
    </row>
    <row r="95" spans="3:6" ht="12.75" customHeight="1">
      <c r="C95" s="72"/>
      <c r="F95" s="72"/>
    </row>
  </sheetData>
  <mergeCells count="3">
    <mergeCell ref="E4:F4"/>
    <mergeCell ref="B3:F3"/>
    <mergeCell ref="C5:E5"/>
  </mergeCells>
  <printOptions/>
  <pageMargins left="0.57" right="0.8" top="1" bottom="1" header="0.5" footer="0.5"/>
  <pageSetup horizontalDpi="300" verticalDpi="300" orientation="portrait" paperSize="9" r:id="rId2"/>
  <headerFooter alignWithMargins="0">
    <oddFooter xml:space="preserve">&amp;C&amp;P </oddFooter>
  </headerFooter>
  <rowBreaks count="1" manualBreakCount="1">
    <brk id="184" max="255" man="1"/>
  </rowBreaks>
  <drawing r:id="rId1"/>
</worksheet>
</file>

<file path=xl/worksheets/sheet5.xml><?xml version="1.0" encoding="utf-8"?>
<worksheet xmlns="http://schemas.openxmlformats.org/spreadsheetml/2006/main" xmlns:r="http://schemas.openxmlformats.org/officeDocument/2006/relationships">
  <dimension ref="A1:I105"/>
  <sheetViews>
    <sheetView workbookViewId="0" topLeftCell="A105">
      <selection activeCell="H121" sqref="H121"/>
    </sheetView>
  </sheetViews>
  <sheetFormatPr defaultColWidth="9.140625" defaultRowHeight="12.75"/>
  <cols>
    <col min="1" max="1" width="34.421875" style="0" customWidth="1"/>
    <col min="2" max="2" width="11.28125" style="0" bestFit="1" customWidth="1"/>
    <col min="3" max="3" width="7.7109375" style="0" customWidth="1"/>
    <col min="4" max="4" width="11.28125" style="0" bestFit="1" customWidth="1"/>
    <col min="5" max="5" width="7.57421875" style="14" customWidth="1"/>
    <col min="6" max="6" width="12.28125" style="0" bestFit="1" customWidth="1"/>
    <col min="7" max="7" width="6.57421875" style="14" bestFit="1" customWidth="1"/>
    <col min="8" max="8" width="6.28125" style="0" customWidth="1"/>
    <col min="9" max="9" width="10.140625" style="0" bestFit="1" customWidth="1"/>
  </cols>
  <sheetData>
    <row r="1" spans="1:7" ht="18">
      <c r="A1" s="132" t="s">
        <v>192</v>
      </c>
      <c r="B1" s="132"/>
      <c r="C1" s="132"/>
      <c r="D1" s="132"/>
      <c r="E1" s="132"/>
      <c r="F1" s="132"/>
      <c r="G1" s="41"/>
    </row>
    <row r="2" spans="1:7" ht="15">
      <c r="A2" s="132"/>
      <c r="B2" s="132"/>
      <c r="C2" s="132"/>
      <c r="D2" s="132"/>
      <c r="E2" s="132"/>
      <c r="F2" s="132"/>
      <c r="G2" s="40"/>
    </row>
    <row r="3" spans="1:7" ht="15.75">
      <c r="A3" s="131" t="s">
        <v>102</v>
      </c>
      <c r="B3" s="131"/>
      <c r="C3" s="131"/>
      <c r="D3" s="131"/>
      <c r="E3" s="131"/>
      <c r="F3" s="131"/>
      <c r="G3" s="39"/>
    </row>
    <row r="4" spans="1:7" ht="15">
      <c r="A4" s="39"/>
      <c r="B4" s="39"/>
      <c r="C4" s="39"/>
      <c r="D4" s="39"/>
      <c r="E4" s="39"/>
      <c r="F4" s="39"/>
      <c r="G4" s="39"/>
    </row>
    <row r="5" spans="1:7" ht="15">
      <c r="A5" s="39"/>
      <c r="B5" s="39"/>
      <c r="C5" s="124"/>
      <c r="D5" s="124"/>
      <c r="E5" s="124"/>
      <c r="F5" s="39"/>
      <c r="G5" s="39"/>
    </row>
    <row r="6" spans="1:6" ht="15.75">
      <c r="A6" s="9"/>
      <c r="C6" s="107" t="s">
        <v>138</v>
      </c>
      <c r="E6" s="107" t="s">
        <v>247</v>
      </c>
      <c r="F6" s="9"/>
    </row>
    <row r="7" spans="1:7" ht="15.75">
      <c r="A7" s="53"/>
      <c r="B7" s="81"/>
      <c r="C7" s="89" t="s">
        <v>135</v>
      </c>
      <c r="D7" s="81"/>
      <c r="E7" s="89" t="s">
        <v>135</v>
      </c>
      <c r="F7" s="81"/>
      <c r="G7" s="12"/>
    </row>
    <row r="8" spans="1:8" ht="15.75">
      <c r="A8" s="82" t="s">
        <v>183</v>
      </c>
      <c r="B8" s="102">
        <f>SUM(B9:B13)</f>
        <v>626.7018545967246</v>
      </c>
      <c r="C8" s="90">
        <f>B8/B70*100</f>
        <v>0.5706200447352067</v>
      </c>
      <c r="D8" s="102">
        <f>SUM(D9:D13)</f>
        <v>426.75</v>
      </c>
      <c r="E8" s="90">
        <f>D8/D70*100</f>
        <v>0.31173411019835495</v>
      </c>
      <c r="F8" s="74"/>
      <c r="G8" s="13"/>
      <c r="H8">
        <v>1</v>
      </c>
    </row>
    <row r="9" spans="1:6" ht="15.75">
      <c r="A9" s="9" t="s">
        <v>64</v>
      </c>
      <c r="B9" s="101">
        <f>350500/1936.27</f>
        <v>181.018143130865</v>
      </c>
      <c r="C9" s="91"/>
      <c r="D9" s="101">
        <v>213.04</v>
      </c>
      <c r="E9" s="91"/>
      <c r="F9" s="72"/>
    </row>
    <row r="10" spans="1:6" ht="15.75">
      <c r="A10" s="9" t="s">
        <v>65</v>
      </c>
      <c r="B10" s="101">
        <f>2500/1936.27</f>
        <v>1.2911422477237162</v>
      </c>
      <c r="C10" s="91"/>
      <c r="D10" s="101"/>
      <c r="E10" s="91"/>
      <c r="F10" s="72"/>
    </row>
    <row r="11" spans="1:6" ht="15.75">
      <c r="A11" s="9" t="s">
        <v>83</v>
      </c>
      <c r="B11" s="101">
        <f>708464/1936.27</f>
        <v>365.89112055653396</v>
      </c>
      <c r="C11" s="91"/>
      <c r="D11" s="101"/>
      <c r="E11" s="91"/>
      <c r="F11" s="72"/>
    </row>
    <row r="12" spans="1:6" ht="15.75">
      <c r="A12" s="9" t="s">
        <v>259</v>
      </c>
      <c r="B12" s="101"/>
      <c r="C12" s="91"/>
      <c r="D12" s="101">
        <f>49.5+81.21</f>
        <v>130.70999999999998</v>
      </c>
      <c r="E12" s="91"/>
      <c r="F12" s="72"/>
    </row>
    <row r="13" spans="1:6" ht="15.75">
      <c r="A13" s="9" t="s">
        <v>93</v>
      </c>
      <c r="B13" s="101">
        <f>152000/1936.27</f>
        <v>78.50144866160194</v>
      </c>
      <c r="C13" s="91"/>
      <c r="D13" s="101">
        <v>83</v>
      </c>
      <c r="E13" s="91"/>
      <c r="F13" s="72"/>
    </row>
    <row r="14" spans="1:8" ht="15.75">
      <c r="A14" s="82" t="s">
        <v>184</v>
      </c>
      <c r="B14" s="102">
        <f>SUM(B15:B16)</f>
        <v>1422.2443151006833</v>
      </c>
      <c r="C14" s="90">
        <f>B14/B70*100</f>
        <v>1.294971618090033</v>
      </c>
      <c r="D14" s="102">
        <f>SUM(D15:D16)</f>
        <v>1144.0900000000001</v>
      </c>
      <c r="E14" s="90">
        <f>D14/D70*100</f>
        <v>0.8357396089908282</v>
      </c>
      <c r="F14" s="74"/>
      <c r="G14" s="13"/>
      <c r="H14">
        <v>2</v>
      </c>
    </row>
    <row r="15" spans="1:6" ht="15.75">
      <c r="A15" s="9" t="s">
        <v>97</v>
      </c>
      <c r="B15" s="101">
        <f>1144358/1936.27</f>
        <v>591.0115841282466</v>
      </c>
      <c r="C15" s="91"/>
      <c r="D15" s="101">
        <v>486.89</v>
      </c>
      <c r="E15" s="91"/>
      <c r="F15" s="72"/>
    </row>
    <row r="16" spans="1:6" ht="15.75">
      <c r="A16" s="9" t="s">
        <v>98</v>
      </c>
      <c r="B16" s="101">
        <f>1609491/1936.27</f>
        <v>831.2327309724367</v>
      </c>
      <c r="C16" s="91"/>
      <c r="D16" s="101">
        <v>657.2</v>
      </c>
      <c r="E16" s="91"/>
      <c r="F16" s="72"/>
    </row>
    <row r="17" spans="1:8" ht="15.75">
      <c r="A17" s="82" t="s">
        <v>185</v>
      </c>
      <c r="B17" s="102">
        <f>SUM(B18)</f>
        <v>227.96614108569568</v>
      </c>
      <c r="C17" s="90">
        <f>B17/B70*100</f>
        <v>0.20756608372914162</v>
      </c>
      <c r="D17" s="102">
        <f>SUM(D18)</f>
        <v>1048.85</v>
      </c>
      <c r="E17" s="90">
        <f>D17/D70*100</f>
        <v>0.7661682987265249</v>
      </c>
      <c r="F17" s="74"/>
      <c r="G17" s="13"/>
      <c r="H17">
        <v>3</v>
      </c>
    </row>
    <row r="18" spans="1:6" ht="15.75">
      <c r="A18" s="9" t="s">
        <v>99</v>
      </c>
      <c r="B18" s="101">
        <f>441404/1936.27</f>
        <v>227.96614108569568</v>
      </c>
      <c r="C18" s="91"/>
      <c r="D18" s="101">
        <v>1048.85</v>
      </c>
      <c r="E18" s="91"/>
      <c r="F18" s="72"/>
    </row>
    <row r="19" spans="1:8" ht="15.75">
      <c r="A19" s="82" t="s">
        <v>186</v>
      </c>
      <c r="B19" s="102">
        <f>SUM(B20)</f>
        <v>5899.286773022358</v>
      </c>
      <c r="C19" s="90">
        <f>B19/B70*100</f>
        <v>5.371375970307243</v>
      </c>
      <c r="D19" s="102">
        <f>SUM(D20)</f>
        <v>-3370.61</v>
      </c>
      <c r="E19" s="90">
        <f>D19/D70*100</f>
        <v>-2.462177174401118</v>
      </c>
      <c r="F19" s="74"/>
      <c r="G19" s="13"/>
      <c r="H19">
        <v>4</v>
      </c>
    </row>
    <row r="20" spans="1:6" ht="15.75">
      <c r="A20" s="9" t="s">
        <v>101</v>
      </c>
      <c r="B20" s="101">
        <f>11422612/1936.27</f>
        <v>5899.286773022358</v>
      </c>
      <c r="C20" s="91"/>
      <c r="D20" s="101">
        <v>-3370.61</v>
      </c>
      <c r="E20" s="91"/>
      <c r="F20" s="72"/>
    </row>
    <row r="21" spans="1:8" ht="15" customHeight="1">
      <c r="A21" s="82" t="s">
        <v>72</v>
      </c>
      <c r="B21" s="102">
        <f>SUM(B22:B34)</f>
        <v>69903.35803120838</v>
      </c>
      <c r="C21" s="90">
        <f>B21/B70*100</f>
        <v>63.647900503784086</v>
      </c>
      <c r="D21" s="102">
        <f>SUM(D22:D34)</f>
        <v>94405.37000000001</v>
      </c>
      <c r="E21" s="90">
        <f>D21/D70*100</f>
        <v>68.96162627978084</v>
      </c>
      <c r="F21" s="74"/>
      <c r="G21" s="13"/>
      <c r="H21">
        <v>5</v>
      </c>
    </row>
    <row r="22" spans="1:7" ht="15.75">
      <c r="A22" s="9" t="s">
        <v>56</v>
      </c>
      <c r="B22" s="101">
        <f>104340/1936.27</f>
        <v>53.88711285099702</v>
      </c>
      <c r="C22" s="9"/>
      <c r="D22" s="101"/>
      <c r="E22" s="9"/>
      <c r="F22" s="72"/>
      <c r="G22" s="15"/>
    </row>
    <row r="23" spans="1:7" ht="15.75">
      <c r="A23" s="9" t="s">
        <v>258</v>
      </c>
      <c r="B23" s="101"/>
      <c r="C23" s="9"/>
      <c r="D23" s="101">
        <f>50+2191+118</f>
        <v>2359</v>
      </c>
      <c r="E23" s="9"/>
      <c r="F23" s="72"/>
      <c r="G23" s="15"/>
    </row>
    <row r="24" spans="1:6" ht="15" customHeight="1">
      <c r="A24" s="9" t="s">
        <v>73</v>
      </c>
      <c r="B24" s="101">
        <f>7350000/1936.27</f>
        <v>3795.9582083077257</v>
      </c>
      <c r="C24" s="91"/>
      <c r="D24" s="101"/>
      <c r="E24" s="91"/>
      <c r="F24" s="72"/>
    </row>
    <row r="25" spans="1:6" ht="15" customHeight="1">
      <c r="A25" s="9" t="s">
        <v>77</v>
      </c>
      <c r="B25" s="101">
        <f>31534500/1936.27</f>
        <v>16286.210084337412</v>
      </c>
      <c r="C25" s="91"/>
      <c r="D25" s="101">
        <v>5576.34</v>
      </c>
      <c r="E25" s="91"/>
      <c r="F25" s="72"/>
    </row>
    <row r="26" spans="1:6" ht="15" customHeight="1">
      <c r="A26" s="9" t="s">
        <v>78</v>
      </c>
      <c r="B26" s="101">
        <f>24552500/1936.27</f>
        <v>12680.308014894617</v>
      </c>
      <c r="C26" s="91"/>
      <c r="D26" s="101">
        <v>47113.9</v>
      </c>
      <c r="E26" s="91"/>
      <c r="F26" s="72"/>
    </row>
    <row r="27" spans="1:6" ht="15" customHeight="1">
      <c r="A27" s="9" t="s">
        <v>79</v>
      </c>
      <c r="B27" s="101">
        <f>1758768/1936.27</f>
        <v>908.327867497818</v>
      </c>
      <c r="C27" s="91"/>
      <c r="D27" s="101">
        <v>3964.6</v>
      </c>
      <c r="E27" s="91"/>
      <c r="F27" s="72"/>
    </row>
    <row r="28" spans="1:6" ht="15" customHeight="1">
      <c r="A28" s="9" t="s">
        <v>80</v>
      </c>
      <c r="B28" s="101">
        <f>92488/1936.27</f>
        <v>47.766065682988426</v>
      </c>
      <c r="C28" s="91"/>
      <c r="D28" s="101"/>
      <c r="E28" s="91"/>
      <c r="F28" s="72"/>
    </row>
    <row r="29" spans="1:6" ht="15" customHeight="1">
      <c r="A29" s="9" t="s">
        <v>104</v>
      </c>
      <c r="B29" s="101">
        <f>51772828/1936.27</f>
        <v>26738.43420597334</v>
      </c>
      <c r="C29" s="91"/>
      <c r="D29" s="101">
        <v>27996.31</v>
      </c>
      <c r="E29" s="91"/>
      <c r="F29" s="72"/>
    </row>
    <row r="30" spans="1:6" ht="15" customHeight="1">
      <c r="A30" s="9" t="s">
        <v>87</v>
      </c>
      <c r="B30" s="101">
        <f>3288000/1936.27</f>
        <v>1698.1102842062317</v>
      </c>
      <c r="C30" s="91"/>
      <c r="D30" s="101"/>
      <c r="E30" s="91"/>
      <c r="F30" s="72"/>
    </row>
    <row r="31" spans="1:6" ht="15.75">
      <c r="A31" s="9" t="s">
        <v>88</v>
      </c>
      <c r="B31" s="101">
        <f>3344363/1936.27</f>
        <v>1727.2193444096124</v>
      </c>
      <c r="C31" s="91"/>
      <c r="D31" s="101">
        <v>2176.53</v>
      </c>
      <c r="E31" s="91"/>
      <c r="F31" s="72"/>
    </row>
    <row r="32" spans="1:6" ht="15.75">
      <c r="A32" s="9" t="s">
        <v>89</v>
      </c>
      <c r="B32" s="101">
        <f>7295849/1936.27</f>
        <v>3767.991550765131</v>
      </c>
      <c r="C32" s="91"/>
      <c r="D32" s="101">
        <v>4541.62</v>
      </c>
      <c r="E32" s="91"/>
      <c r="F32" s="72"/>
    </row>
    <row r="33" spans="1:6" ht="15.75">
      <c r="A33" s="9" t="s">
        <v>90</v>
      </c>
      <c r="B33" s="101">
        <f>316000/1936.27</f>
        <v>163.20038011227774</v>
      </c>
      <c r="C33" s="91"/>
      <c r="D33" s="101">
        <v>677.07</v>
      </c>
      <c r="E33" s="91"/>
      <c r="F33" s="72"/>
    </row>
    <row r="34" spans="1:6" ht="15.75">
      <c r="A34" s="9" t="s">
        <v>91</v>
      </c>
      <c r="B34" s="101">
        <f>3944175/1937.27</f>
        <v>2035.944912170219</v>
      </c>
      <c r="C34" s="91"/>
      <c r="D34" s="101"/>
      <c r="E34" s="91"/>
      <c r="F34" s="72"/>
    </row>
    <row r="35" spans="1:8" ht="15.75">
      <c r="A35" s="82" t="s">
        <v>187</v>
      </c>
      <c r="B35" s="105">
        <f>SUM(B36:B50)</f>
        <v>15250.173271289643</v>
      </c>
      <c r="C35" s="90">
        <f>B35/B70*100</f>
        <v>13.885477584684377</v>
      </c>
      <c r="D35" s="105">
        <f>SUM(D36:D50)</f>
        <v>15503.189999999999</v>
      </c>
      <c r="E35" s="90">
        <f>D35/D70*100</f>
        <v>11.324834539861824</v>
      </c>
      <c r="F35" s="88"/>
      <c r="G35" s="13"/>
      <c r="H35">
        <v>6</v>
      </c>
    </row>
    <row r="36" spans="1:6" ht="15.75">
      <c r="A36" s="9" t="s">
        <v>58</v>
      </c>
      <c r="B36" s="101">
        <f>3038000/1936.27</f>
        <v>1568.99605943386</v>
      </c>
      <c r="C36" s="91"/>
      <c r="D36" s="101"/>
      <c r="E36" s="91"/>
      <c r="F36" s="72"/>
    </row>
    <row r="37" spans="1:6" ht="15.75">
      <c r="A37" s="9" t="s">
        <v>60</v>
      </c>
      <c r="B37" s="101">
        <f>750000/1936.27</f>
        <v>387.34267431711487</v>
      </c>
      <c r="C37" s="91"/>
      <c r="D37" s="101"/>
      <c r="E37" s="91"/>
      <c r="F37" s="72"/>
    </row>
    <row r="38" spans="1:6" ht="15.75">
      <c r="A38" s="9" t="s">
        <v>61</v>
      </c>
      <c r="B38" s="101">
        <f>647084/1936.27</f>
        <v>334.19099609042127</v>
      </c>
      <c r="C38" s="91"/>
      <c r="D38" s="101">
        <v>533.08</v>
      </c>
      <c r="E38" s="91"/>
      <c r="F38" s="72"/>
    </row>
    <row r="39" spans="1:6" ht="15.75">
      <c r="A39" s="9" t="s">
        <v>74</v>
      </c>
      <c r="B39" s="101">
        <f>3000000/1936.27</f>
        <v>1549.3706972684595</v>
      </c>
      <c r="C39" s="91"/>
      <c r="D39" s="101"/>
      <c r="E39" s="91"/>
      <c r="F39" s="72"/>
    </row>
    <row r="40" spans="1:6" ht="15.75">
      <c r="A40" s="9" t="s">
        <v>75</v>
      </c>
      <c r="B40" s="101">
        <f>1390000/1936.27</f>
        <v>717.8750897343863</v>
      </c>
      <c r="C40" s="91"/>
      <c r="D40" s="101">
        <v>3124</v>
      </c>
      <c r="E40" s="91"/>
      <c r="F40" s="72"/>
    </row>
    <row r="41" spans="1:6" ht="15.75">
      <c r="A41" s="9" t="s">
        <v>76</v>
      </c>
      <c r="B41" s="101">
        <f>9281400/1936.27</f>
        <v>4793.44306320916</v>
      </c>
      <c r="C41" s="91"/>
      <c r="D41" s="101">
        <v>4560.83</v>
      </c>
      <c r="E41" s="91"/>
      <c r="F41" s="72"/>
    </row>
    <row r="42" spans="1:6" ht="15.75">
      <c r="A42" s="9" t="s">
        <v>81</v>
      </c>
      <c r="B42" s="101">
        <f>3122731/1936.27</f>
        <v>1612.7559689506113</v>
      </c>
      <c r="C42" s="91"/>
      <c r="D42" s="101">
        <v>983.14</v>
      </c>
      <c r="E42" s="91"/>
      <c r="F42" s="72"/>
    </row>
    <row r="43" spans="1:6" ht="15.75">
      <c r="A43" s="9" t="s">
        <v>82</v>
      </c>
      <c r="B43" s="101">
        <f>643836/1936.27</f>
        <v>332.5135440821786</v>
      </c>
      <c r="C43" s="91"/>
      <c r="D43" s="101">
        <v>456</v>
      </c>
      <c r="E43" s="91"/>
      <c r="F43" s="72"/>
    </row>
    <row r="44" spans="1:6" ht="15.75">
      <c r="A44" s="9" t="s">
        <v>84</v>
      </c>
      <c r="B44" s="101">
        <f>2497325/1936.27</f>
        <v>1289.760725518652</v>
      </c>
      <c r="C44" s="91"/>
      <c r="D44" s="101">
        <v>1200.83</v>
      </c>
      <c r="E44" s="91"/>
      <c r="F44" s="72"/>
    </row>
    <row r="45" spans="1:6" ht="15.75">
      <c r="A45" s="9" t="s">
        <v>85</v>
      </c>
      <c r="B45" s="101">
        <f>1143808/1936.27</f>
        <v>590.7275328337473</v>
      </c>
      <c r="C45" s="91"/>
      <c r="D45" s="101">
        <v>109.56</v>
      </c>
      <c r="E45" s="91"/>
      <c r="F45" s="72"/>
    </row>
    <row r="46" spans="1:6" ht="15.75">
      <c r="A46" s="9" t="s">
        <v>86</v>
      </c>
      <c r="B46" s="101">
        <f>1215932/1936.27</f>
        <v>627.9764702236774</v>
      </c>
      <c r="C46" s="91"/>
      <c r="D46" s="101">
        <v>2002.05</v>
      </c>
      <c r="E46" s="91"/>
      <c r="F46" s="72"/>
    </row>
    <row r="47" spans="1:6" ht="15.75">
      <c r="A47" s="9" t="s">
        <v>260</v>
      </c>
      <c r="B47" s="101">
        <f>15061/1936.27</f>
        <v>7.778357357186756</v>
      </c>
      <c r="C47" s="91"/>
      <c r="D47" s="101">
        <f>13.39+670.77</f>
        <v>684.16</v>
      </c>
      <c r="E47" s="91"/>
      <c r="F47" s="72"/>
    </row>
    <row r="48" spans="1:6" ht="15.75">
      <c r="A48" s="9" t="s">
        <v>92</v>
      </c>
      <c r="B48" s="101">
        <f>1430000/1936.27</f>
        <v>738.5333656979657</v>
      </c>
      <c r="C48" s="91"/>
      <c r="D48" s="101">
        <v>738.53</v>
      </c>
      <c r="E48" s="91"/>
      <c r="F48" s="72"/>
    </row>
    <row r="49" spans="1:6" ht="15.75">
      <c r="A49" s="9" t="s">
        <v>94</v>
      </c>
      <c r="B49" s="101">
        <f>1000000/1936.27</f>
        <v>516.4568990894865</v>
      </c>
      <c r="C49" s="91"/>
      <c r="D49" s="101">
        <v>1111.01</v>
      </c>
      <c r="E49" s="91"/>
      <c r="F49" s="72"/>
    </row>
    <row r="50" spans="1:6" ht="15.75">
      <c r="A50" s="9" t="s">
        <v>100</v>
      </c>
      <c r="B50" s="101">
        <f>353276/1936.27</f>
        <v>182.45182748273743</v>
      </c>
      <c r="C50" s="91"/>
      <c r="D50" s="101"/>
      <c r="E50" s="91"/>
      <c r="F50" s="72"/>
    </row>
    <row r="51" spans="1:8" ht="15.75">
      <c r="A51" s="82" t="s">
        <v>188</v>
      </c>
      <c r="B51" s="102">
        <f>SUM(B52:B53)</f>
        <v>6044.578493701809</v>
      </c>
      <c r="C51" s="90">
        <f>B51/B70*100</f>
        <v>5.503665938089631</v>
      </c>
      <c r="D51" s="102">
        <f>SUM(D52:D53)</f>
        <v>3300</v>
      </c>
      <c r="E51" s="90">
        <f>D51/D70*100</f>
        <v>2.410597688704326</v>
      </c>
      <c r="F51" s="74"/>
      <c r="G51" s="13"/>
      <c r="H51">
        <v>7</v>
      </c>
    </row>
    <row r="52" spans="1:6" ht="15.75">
      <c r="A52" s="9" t="s">
        <v>71</v>
      </c>
      <c r="B52" s="101">
        <f>6058834/1936.27</f>
        <v>3129.12661973795</v>
      </c>
      <c r="C52" s="91"/>
      <c r="D52" s="101">
        <v>3300</v>
      </c>
      <c r="E52" s="91"/>
      <c r="F52" s="72"/>
    </row>
    <row r="53" spans="1:6" ht="15.75">
      <c r="A53" s="9" t="s">
        <v>96</v>
      </c>
      <c r="B53" s="101">
        <f>5645102/1936.27</f>
        <v>2915.4518739638584</v>
      </c>
      <c r="C53" s="91"/>
      <c r="D53" s="101"/>
      <c r="E53" s="91"/>
      <c r="F53" s="72"/>
    </row>
    <row r="54" spans="1:8" ht="15.75">
      <c r="A54" s="82" t="s">
        <v>189</v>
      </c>
      <c r="B54" s="102">
        <f>SUM(B55:B69)</f>
        <v>10453.9140117339</v>
      </c>
      <c r="C54" s="90">
        <f>B54/B70*100</f>
        <v>9.518422256580278</v>
      </c>
      <c r="D54" s="102">
        <f>SUM(D55:D69)</f>
        <v>24437.869999999995</v>
      </c>
      <c r="E54" s="90">
        <f>D54/D70*100</f>
        <v>17.851476648138416</v>
      </c>
      <c r="F54" s="74"/>
      <c r="G54" s="13"/>
      <c r="H54">
        <v>8</v>
      </c>
    </row>
    <row r="55" spans="1:6" ht="15.75">
      <c r="A55" s="9" t="s">
        <v>53</v>
      </c>
      <c r="B55" s="101">
        <f>893492/1936.27</f>
        <v>461.4501076812635</v>
      </c>
      <c r="C55" s="91"/>
      <c r="D55" s="101">
        <v>88.51</v>
      </c>
      <c r="E55" s="91"/>
      <c r="F55" s="72"/>
    </row>
    <row r="56" spans="1:6" ht="15.75">
      <c r="A56" s="9" t="s">
        <v>256</v>
      </c>
      <c r="B56" s="101"/>
      <c r="C56" s="91"/>
      <c r="D56" s="101">
        <f>953.73+826.45</f>
        <v>1780.18</v>
      </c>
      <c r="E56" s="91"/>
      <c r="F56" s="72"/>
    </row>
    <row r="57" spans="1:6" ht="15.75">
      <c r="A57" s="9" t="s">
        <v>257</v>
      </c>
      <c r="B57" s="101"/>
      <c r="C57" s="91"/>
      <c r="D57" s="101">
        <v>3203.54</v>
      </c>
      <c r="E57" s="91"/>
      <c r="F57" s="72"/>
    </row>
    <row r="58" spans="1:6" ht="15.75">
      <c r="A58" s="9" t="s">
        <v>54</v>
      </c>
      <c r="B58" s="101">
        <f>1842680/1936.27</f>
        <v>951.6647988142149</v>
      </c>
      <c r="C58" s="91"/>
      <c r="D58" s="101">
        <v>10301.3</v>
      </c>
      <c r="E58" s="91"/>
      <c r="F58" s="72"/>
    </row>
    <row r="59" spans="1:6" ht="15.75">
      <c r="A59" s="9" t="s">
        <v>57</v>
      </c>
      <c r="B59" s="101">
        <f>2820600/1936.27</f>
        <v>1456.7183295718055</v>
      </c>
      <c r="C59" s="91"/>
      <c r="D59" s="101">
        <v>151.45</v>
      </c>
      <c r="E59" s="91"/>
      <c r="F59" s="72"/>
    </row>
    <row r="60" spans="1:6" ht="15.75">
      <c r="A60" s="9" t="s">
        <v>59</v>
      </c>
      <c r="B60" s="101">
        <f>186500/1936.27</f>
        <v>96.31921168018923</v>
      </c>
      <c r="C60" s="91"/>
      <c r="D60" s="101">
        <f>412+179.49</f>
        <v>591.49</v>
      </c>
      <c r="E60" s="91"/>
      <c r="F60" s="72"/>
    </row>
    <row r="61" spans="1:6" ht="15.75">
      <c r="A61" s="9" t="s">
        <v>62</v>
      </c>
      <c r="B61" s="101">
        <f>400000/1936.27</f>
        <v>206.5827596357946</v>
      </c>
      <c r="C61" s="91"/>
      <c r="D61" s="101"/>
      <c r="E61" s="91"/>
      <c r="F61" s="72"/>
    </row>
    <row r="62" spans="1:6" ht="15">
      <c r="A62" s="9" t="s">
        <v>63</v>
      </c>
      <c r="B62" s="101">
        <f>2457902/1936.27</f>
        <v>1269.400445185847</v>
      </c>
      <c r="C62" s="91"/>
      <c r="D62" s="101">
        <v>1726.06</v>
      </c>
      <c r="E62" s="91"/>
      <c r="F62" s="72"/>
    </row>
    <row r="63" spans="1:6" ht="15">
      <c r="A63" s="9" t="s">
        <v>66</v>
      </c>
      <c r="B63" s="101">
        <f>543200/1936.27</f>
        <v>280.5393875854091</v>
      </c>
      <c r="C63" s="91"/>
      <c r="D63" s="101"/>
      <c r="E63" s="91"/>
      <c r="F63" s="72"/>
    </row>
    <row r="64" spans="1:6" ht="15">
      <c r="A64" s="9" t="s">
        <v>67</v>
      </c>
      <c r="B64" s="101">
        <f>2835602/1936.27</f>
        <v>1464.466215971946</v>
      </c>
      <c r="C64" s="91"/>
      <c r="D64" s="101"/>
      <c r="E64" s="91"/>
      <c r="F64" s="72"/>
    </row>
    <row r="65" spans="1:6" ht="15">
      <c r="A65" s="9" t="s">
        <v>68</v>
      </c>
      <c r="B65" s="101">
        <f>2225000/1936.27</f>
        <v>1149.1166004741074</v>
      </c>
      <c r="C65" s="91"/>
      <c r="D65" s="101">
        <v>318.19</v>
      </c>
      <c r="E65" s="91"/>
      <c r="F65" s="72"/>
    </row>
    <row r="66" spans="1:6" ht="15">
      <c r="A66" s="9" t="s">
        <v>69</v>
      </c>
      <c r="B66" s="101">
        <f>480000/1936.27</f>
        <v>247.89931156295353</v>
      </c>
      <c r="C66" s="91"/>
      <c r="D66" s="101"/>
      <c r="E66" s="91"/>
      <c r="F66" s="72"/>
    </row>
    <row r="67" spans="1:6" ht="15">
      <c r="A67" s="9" t="s">
        <v>70</v>
      </c>
      <c r="B67" s="101">
        <f>4897363/1936.27</f>
        <v>2529.276908695585</v>
      </c>
      <c r="C67" s="91"/>
      <c r="D67" s="101">
        <v>5495.05</v>
      </c>
      <c r="E67" s="91"/>
      <c r="F67" s="72"/>
    </row>
    <row r="68" spans="1:9" ht="15">
      <c r="A68" s="9" t="s">
        <v>95</v>
      </c>
      <c r="B68" s="101">
        <f>16595/1936.27+1.05</f>
        <v>9.62060224039003</v>
      </c>
      <c r="C68" s="91"/>
      <c r="D68" s="101">
        <v>46.5</v>
      </c>
      <c r="E68" s="91"/>
      <c r="F68" s="72"/>
      <c r="I68" s="106">
        <f>B70-'val e van'!D26</f>
        <v>-0.001477796075050719</v>
      </c>
    </row>
    <row r="69" spans="1:9" ht="15">
      <c r="A69" s="9" t="s">
        <v>191</v>
      </c>
      <c r="B69" s="101">
        <f>640633/1936.27</f>
        <v>330.859332634395</v>
      </c>
      <c r="C69" s="91"/>
      <c r="D69" s="101">
        <v>735.6</v>
      </c>
      <c r="E69" s="91"/>
      <c r="F69" s="72"/>
      <c r="I69" s="106">
        <f>D70-'val e van'!F26</f>
        <v>0</v>
      </c>
    </row>
    <row r="70" spans="1:7" ht="15">
      <c r="A70" s="82" t="s">
        <v>190</v>
      </c>
      <c r="B70" s="102">
        <f>B54+B51+B35+B21+B19+B17+B14+B8</f>
        <v>109828.22289173919</v>
      </c>
      <c r="C70" s="92">
        <f>SUM(C8:C69)</f>
        <v>100</v>
      </c>
      <c r="D70" s="102">
        <f>D54+D51+D35+D21+D19+D17+D14+D8</f>
        <v>136895.51</v>
      </c>
      <c r="E70" s="92">
        <f>SUM(E8:E69)</f>
        <v>100</v>
      </c>
      <c r="F70" s="74"/>
      <c r="G70" s="34"/>
    </row>
    <row r="71" spans="1:7" ht="15">
      <c r="A71" s="82"/>
      <c r="B71" s="74"/>
      <c r="C71" s="82"/>
      <c r="D71" s="74"/>
      <c r="E71" s="92"/>
      <c r="F71" s="74"/>
      <c r="G71" s="34"/>
    </row>
    <row r="72" spans="1:7" ht="15">
      <c r="A72" s="82"/>
      <c r="B72" s="74"/>
      <c r="C72" s="82"/>
      <c r="D72" s="74"/>
      <c r="E72" s="92"/>
      <c r="F72" s="74"/>
      <c r="G72" s="34"/>
    </row>
    <row r="73" spans="1:7" ht="15">
      <c r="A73" s="82"/>
      <c r="B73" s="74"/>
      <c r="C73" s="82"/>
      <c r="D73" s="74"/>
      <c r="E73" s="92"/>
      <c r="F73" s="74"/>
      <c r="G73" s="34"/>
    </row>
    <row r="74" spans="1:7" ht="15">
      <c r="A74" s="82"/>
      <c r="B74" s="74"/>
      <c r="C74" s="82"/>
      <c r="D74" s="74"/>
      <c r="E74" s="92"/>
      <c r="F74" s="74"/>
      <c r="G74" s="34"/>
    </row>
    <row r="75" spans="1:6" ht="15">
      <c r="A75" s="9"/>
      <c r="B75" s="9"/>
      <c r="C75" s="9"/>
      <c r="D75" s="9"/>
      <c r="E75" s="91"/>
      <c r="F75" s="9"/>
    </row>
    <row r="76" spans="1:6" ht="15">
      <c r="A76" s="9"/>
      <c r="B76" s="9"/>
      <c r="C76" s="9"/>
      <c r="D76" s="9"/>
      <c r="E76" s="91"/>
      <c r="F76" s="9"/>
    </row>
    <row r="77" spans="1:6" ht="15">
      <c r="A77" s="9"/>
      <c r="B77" s="9"/>
      <c r="C77" s="9"/>
      <c r="D77" s="9"/>
      <c r="E77" s="91"/>
      <c r="F77" s="9"/>
    </row>
    <row r="78" spans="1:6" ht="15">
      <c r="A78" s="9"/>
      <c r="B78" s="9"/>
      <c r="C78" s="9"/>
      <c r="D78" s="9"/>
      <c r="E78" s="91"/>
      <c r="F78" s="9"/>
    </row>
    <row r="79" spans="1:6" ht="15">
      <c r="A79" s="9"/>
      <c r="B79" s="9"/>
      <c r="C79" s="9"/>
      <c r="D79" s="9"/>
      <c r="E79" s="91"/>
      <c r="F79" s="9"/>
    </row>
    <row r="80" spans="1:6" ht="15">
      <c r="A80" s="9"/>
      <c r="B80" s="9"/>
      <c r="C80" s="9"/>
      <c r="D80" s="9"/>
      <c r="E80" s="91"/>
      <c r="F80" s="9"/>
    </row>
    <row r="81" spans="1:6" ht="15">
      <c r="A81" s="9"/>
      <c r="B81" s="9"/>
      <c r="C81" s="9"/>
      <c r="D81" s="9"/>
      <c r="E81" s="91"/>
      <c r="F81" s="9"/>
    </row>
    <row r="82" spans="1:6" ht="15">
      <c r="A82" s="9"/>
      <c r="B82" s="9"/>
      <c r="C82" s="9"/>
      <c r="D82" s="9"/>
      <c r="E82" s="91"/>
      <c r="F82" s="9"/>
    </row>
    <row r="83" spans="1:6" ht="15">
      <c r="A83" s="9"/>
      <c r="B83" s="9"/>
      <c r="C83" s="9"/>
      <c r="D83" s="9"/>
      <c r="E83" s="91"/>
      <c r="F83" s="9"/>
    </row>
    <row r="84" spans="1:6" ht="15">
      <c r="A84" s="9"/>
      <c r="B84" s="9"/>
      <c r="C84" s="9"/>
      <c r="D84" s="9"/>
      <c r="E84" s="91"/>
      <c r="F84" s="9"/>
    </row>
    <row r="85" spans="1:6" ht="15">
      <c r="A85" s="9"/>
      <c r="B85" s="9"/>
      <c r="C85" s="9"/>
      <c r="D85" s="9"/>
      <c r="E85" s="91"/>
      <c r="F85" s="9"/>
    </row>
    <row r="86" spans="1:6" ht="15">
      <c r="A86" s="9"/>
      <c r="B86" s="9"/>
      <c r="C86" s="9"/>
      <c r="D86" s="9"/>
      <c r="E86" s="91"/>
      <c r="F86" s="9"/>
    </row>
    <row r="87" spans="1:6" ht="15">
      <c r="A87" s="9"/>
      <c r="B87" s="9"/>
      <c r="C87" s="9"/>
      <c r="D87" s="9"/>
      <c r="E87" s="91"/>
      <c r="F87" s="9"/>
    </row>
    <row r="88" spans="1:6" ht="15">
      <c r="A88" s="9"/>
      <c r="B88" s="9"/>
      <c r="C88" s="9"/>
      <c r="D88" s="9"/>
      <c r="E88" s="91"/>
      <c r="F88" s="9"/>
    </row>
    <row r="89" spans="1:6" ht="15">
      <c r="A89" s="9"/>
      <c r="B89" s="9"/>
      <c r="C89" s="9"/>
      <c r="D89" s="9"/>
      <c r="E89" s="91"/>
      <c r="F89" s="9"/>
    </row>
    <row r="90" spans="1:6" ht="15">
      <c r="A90" s="9"/>
      <c r="B90" s="9"/>
      <c r="C90" s="9"/>
      <c r="D90" s="9"/>
      <c r="E90" s="91"/>
      <c r="F90" s="9"/>
    </row>
    <row r="91" spans="1:6" ht="15">
      <c r="A91" s="9"/>
      <c r="B91" s="9"/>
      <c r="C91" s="9"/>
      <c r="D91" s="9"/>
      <c r="E91" s="91"/>
      <c r="F91" s="9"/>
    </row>
    <row r="92" spans="1:6" ht="15">
      <c r="A92" s="9"/>
      <c r="B92" s="9"/>
      <c r="C92" s="9"/>
      <c r="D92" s="9"/>
      <c r="E92" s="91"/>
      <c r="F92" s="9"/>
    </row>
    <row r="93" spans="1:6" ht="15">
      <c r="A93" s="9"/>
      <c r="B93" s="9"/>
      <c r="C93" s="9"/>
      <c r="D93" s="9"/>
      <c r="E93" s="91"/>
      <c r="F93" s="9"/>
    </row>
    <row r="94" spans="1:6" ht="15">
      <c r="A94" s="9"/>
      <c r="B94" s="9"/>
      <c r="C94" s="9"/>
      <c r="D94" s="9"/>
      <c r="E94" s="91"/>
      <c r="F94" s="9"/>
    </row>
    <row r="95" spans="1:6" ht="15">
      <c r="A95" s="9"/>
      <c r="B95" s="9"/>
      <c r="C95" s="9"/>
      <c r="D95" s="9"/>
      <c r="E95" s="91"/>
      <c r="F95" s="9"/>
    </row>
    <row r="96" spans="1:6" ht="15">
      <c r="A96" s="9"/>
      <c r="B96" s="9"/>
      <c r="C96" s="9"/>
      <c r="D96" s="9"/>
      <c r="E96" s="91"/>
      <c r="F96" s="9"/>
    </row>
    <row r="97" spans="1:6" ht="15">
      <c r="A97" s="9"/>
      <c r="B97" s="9"/>
      <c r="C97" s="9"/>
      <c r="D97" s="9"/>
      <c r="E97" s="91"/>
      <c r="F97" s="9"/>
    </row>
    <row r="98" spans="1:6" ht="15">
      <c r="A98" s="9"/>
      <c r="B98" s="9"/>
      <c r="C98" s="9"/>
      <c r="D98" s="9"/>
      <c r="E98" s="91"/>
      <c r="F98" s="9"/>
    </row>
    <row r="99" spans="1:6" ht="15">
      <c r="A99" s="9"/>
      <c r="B99" s="9"/>
      <c r="C99" s="9"/>
      <c r="D99" s="9"/>
      <c r="E99" s="91"/>
      <c r="F99" s="9"/>
    </row>
    <row r="100" spans="1:6" ht="15">
      <c r="A100" s="9"/>
      <c r="B100" s="9"/>
      <c r="C100" s="9"/>
      <c r="D100" s="9"/>
      <c r="E100" s="91"/>
      <c r="F100" s="9"/>
    </row>
    <row r="101" spans="1:6" ht="15">
      <c r="A101" s="9"/>
      <c r="B101" s="9"/>
      <c r="C101" s="9"/>
      <c r="D101" s="9"/>
      <c r="E101" s="91"/>
      <c r="F101" s="9"/>
    </row>
    <row r="102" spans="1:6" ht="15">
      <c r="A102" s="9"/>
      <c r="B102" s="9"/>
      <c r="C102" s="9"/>
      <c r="D102" s="9"/>
      <c r="E102" s="91"/>
      <c r="F102" s="9"/>
    </row>
    <row r="103" spans="1:6" ht="15">
      <c r="A103" s="9"/>
      <c r="B103" s="9"/>
      <c r="C103" s="9"/>
      <c r="D103" s="9"/>
      <c r="E103" s="91"/>
      <c r="F103" s="9"/>
    </row>
    <row r="104" spans="1:6" ht="15">
      <c r="A104" s="9"/>
      <c r="B104" s="9"/>
      <c r="C104" s="9"/>
      <c r="D104" s="9"/>
      <c r="E104" s="91"/>
      <c r="F104" s="9"/>
    </row>
    <row r="105" spans="1:6" ht="15">
      <c r="A105" s="9"/>
      <c r="B105" s="9"/>
      <c r="C105" s="9"/>
      <c r="D105" s="9"/>
      <c r="E105" s="91"/>
      <c r="F105" s="9"/>
    </row>
  </sheetData>
  <mergeCells count="3">
    <mergeCell ref="A3:F3"/>
    <mergeCell ref="A1:F2"/>
    <mergeCell ref="C5:E5"/>
  </mergeCells>
  <printOptions/>
  <pageMargins left="0.87" right="0.43" top="1" bottom="1" header="0.5" footer="0.5"/>
  <pageSetup horizontalDpi="300" verticalDpi="300" orientation="portrait" paperSize="9" r:id="rId4"/>
  <headerFooter alignWithMargins="0">
    <oddFooter>&amp;C&amp;P</oddFooter>
  </headerFooter>
  <rowBreaks count="1" manualBreakCount="1">
    <brk id="198" max="255" man="1"/>
  </rowBreaks>
  <drawing r:id="rId3"/>
  <legacyDrawing r:id="rId2"/>
</worksheet>
</file>

<file path=xl/worksheets/sheet6.xml><?xml version="1.0" encoding="utf-8"?>
<worksheet xmlns="http://schemas.openxmlformats.org/spreadsheetml/2006/main" xmlns:r="http://schemas.openxmlformats.org/officeDocument/2006/relationships">
  <dimension ref="A7:L279"/>
  <sheetViews>
    <sheetView tabSelected="1" zoomScale="90" zoomScaleNormal="90" workbookViewId="0" topLeftCell="A1">
      <selection activeCell="J114" sqref="J114"/>
    </sheetView>
  </sheetViews>
  <sheetFormatPr defaultColWidth="9.140625" defaultRowHeight="15" customHeight="1"/>
  <cols>
    <col min="1" max="1" width="23.8515625" style="1" customWidth="1"/>
    <col min="2" max="2" width="10.57421875" style="1" bestFit="1" customWidth="1"/>
    <col min="3" max="3" width="6.57421875" style="1" bestFit="1" customWidth="1"/>
    <col min="4" max="4" width="12.421875" style="1" customWidth="1"/>
    <col min="5" max="5" width="6.28125" style="1" bestFit="1" customWidth="1"/>
    <col min="6" max="6" width="8.57421875" style="1" customWidth="1"/>
    <col min="7" max="7" width="6.57421875" style="1" bestFit="1" customWidth="1"/>
    <col min="8" max="8" width="7.421875" style="1" customWidth="1"/>
    <col min="9" max="9" width="6.28125" style="1" customWidth="1"/>
    <col min="10" max="10" width="9.140625" style="1" customWidth="1"/>
    <col min="11" max="11" width="11.57421875" style="1" customWidth="1"/>
    <col min="12" max="12" width="10.421875" style="1" customWidth="1"/>
    <col min="13" max="16384" width="9.140625" style="1" customWidth="1"/>
  </cols>
  <sheetData>
    <row r="7" spans="1:9" ht="15" customHeight="1">
      <c r="A7" s="160" t="s">
        <v>201</v>
      </c>
      <c r="B7" s="160"/>
      <c r="C7" s="160"/>
      <c r="D7" s="160"/>
      <c r="E7" s="160"/>
      <c r="F7" s="160"/>
      <c r="G7" s="160"/>
      <c r="H7" s="160"/>
      <c r="I7" s="160"/>
    </row>
    <row r="8" spans="1:9" ht="15" customHeight="1">
      <c r="A8" s="160"/>
      <c r="B8" s="160"/>
      <c r="C8" s="160"/>
      <c r="D8" s="160"/>
      <c r="E8" s="160"/>
      <c r="F8" s="160"/>
      <c r="G8" s="160"/>
      <c r="H8" s="160"/>
      <c r="I8" s="160"/>
    </row>
    <row r="9" spans="1:9" ht="15" customHeight="1">
      <c r="A9" s="160"/>
      <c r="B9" s="160"/>
      <c r="C9" s="160"/>
      <c r="D9" s="160"/>
      <c r="E9" s="160"/>
      <c r="F9" s="160"/>
      <c r="G9" s="160"/>
      <c r="H9" s="160"/>
      <c r="I9" s="160"/>
    </row>
    <row r="10" spans="1:9" ht="15" customHeight="1">
      <c r="A10" s="160"/>
      <c r="B10" s="160"/>
      <c r="C10" s="160"/>
      <c r="D10" s="160"/>
      <c r="E10" s="160"/>
      <c r="F10" s="160"/>
      <c r="G10" s="160"/>
      <c r="H10" s="160"/>
      <c r="I10" s="160"/>
    </row>
    <row r="11" spans="1:9" ht="15" customHeight="1">
      <c r="A11" s="160"/>
      <c r="B11" s="160"/>
      <c r="C11" s="160"/>
      <c r="D11" s="160"/>
      <c r="E11" s="160"/>
      <c r="F11" s="160"/>
      <c r="G11" s="160"/>
      <c r="H11" s="160"/>
      <c r="I11" s="160"/>
    </row>
    <row r="12" spans="1:9" ht="15" customHeight="1">
      <c r="A12" s="160"/>
      <c r="B12" s="160"/>
      <c r="C12" s="160"/>
      <c r="D12" s="160"/>
      <c r="E12" s="160"/>
      <c r="F12" s="160"/>
      <c r="G12" s="160"/>
      <c r="H12" s="160"/>
      <c r="I12" s="160"/>
    </row>
    <row r="13" spans="1:9" ht="15" customHeight="1">
      <c r="A13" s="160"/>
      <c r="B13" s="160"/>
      <c r="C13" s="160"/>
      <c r="D13" s="160"/>
      <c r="E13" s="160"/>
      <c r="F13" s="160"/>
      <c r="G13" s="160"/>
      <c r="H13" s="160"/>
      <c r="I13" s="160"/>
    </row>
    <row r="14" spans="1:9" ht="15" customHeight="1">
      <c r="A14" s="133" t="s">
        <v>202</v>
      </c>
      <c r="B14" s="133"/>
      <c r="C14" s="133"/>
      <c r="D14" s="133"/>
      <c r="E14" s="133"/>
      <c r="F14" s="133"/>
      <c r="G14" s="133"/>
      <c r="H14" s="133"/>
      <c r="I14" s="133"/>
    </row>
    <row r="15" spans="1:9" ht="15" customHeight="1">
      <c r="A15" s="133"/>
      <c r="B15" s="161"/>
      <c r="C15" s="133"/>
      <c r="D15" s="133"/>
      <c r="E15" s="133"/>
      <c r="F15" s="133"/>
      <c r="G15" s="133"/>
      <c r="H15" s="133"/>
      <c r="I15" s="133"/>
    </row>
    <row r="16" spans="1:9" ht="15" customHeight="1">
      <c r="A16" s="133"/>
      <c r="B16" s="133"/>
      <c r="C16" s="133"/>
      <c r="D16" s="133"/>
      <c r="E16" s="133"/>
      <c r="F16" s="133"/>
      <c r="G16" s="133"/>
      <c r="H16" s="133"/>
      <c r="I16" s="133"/>
    </row>
    <row r="17" spans="1:2" ht="15" customHeight="1">
      <c r="A17" s="156" t="s">
        <v>137</v>
      </c>
      <c r="B17" s="156"/>
    </row>
    <row r="18" spans="1:9" ht="15" customHeight="1">
      <c r="A18" s="133" t="s">
        <v>271</v>
      </c>
      <c r="B18" s="133"/>
      <c r="C18" s="133"/>
      <c r="D18" s="133"/>
      <c r="E18" s="133"/>
      <c r="F18" s="133"/>
      <c r="G18" s="133"/>
      <c r="H18" s="133"/>
      <c r="I18" s="133"/>
    </row>
    <row r="19" spans="1:9" ht="15" customHeight="1">
      <c r="A19" s="133"/>
      <c r="B19" s="133"/>
      <c r="C19" s="133"/>
      <c r="D19" s="133"/>
      <c r="E19" s="133"/>
      <c r="F19" s="133"/>
      <c r="G19" s="133"/>
      <c r="H19" s="133"/>
      <c r="I19" s="133"/>
    </row>
    <row r="20" spans="1:9" ht="15" customHeight="1">
      <c r="A20" s="133"/>
      <c r="B20" s="133"/>
      <c r="C20" s="133"/>
      <c r="D20" s="133"/>
      <c r="E20" s="133"/>
      <c r="F20" s="133"/>
      <c r="G20" s="133"/>
      <c r="H20" s="133"/>
      <c r="I20" s="133"/>
    </row>
    <row r="21" spans="1:9" ht="15" customHeight="1">
      <c r="A21" s="133"/>
      <c r="B21" s="161"/>
      <c r="C21" s="133"/>
      <c r="D21" s="133"/>
      <c r="E21" s="133"/>
      <c r="F21" s="133"/>
      <c r="G21" s="133"/>
      <c r="H21" s="133"/>
      <c r="I21" s="133"/>
    </row>
    <row r="22" spans="1:9" ht="15" customHeight="1">
      <c r="A22" s="16"/>
      <c r="B22" s="3"/>
      <c r="D22" s="146" t="s">
        <v>261</v>
      </c>
      <c r="E22" s="148"/>
      <c r="F22" s="146" t="s">
        <v>262</v>
      </c>
      <c r="G22" s="148"/>
      <c r="H22" s="149"/>
      <c r="I22" s="149"/>
    </row>
    <row r="23" spans="1:9" ht="15" customHeight="1">
      <c r="A23" s="157" t="s">
        <v>133</v>
      </c>
      <c r="B23" s="158"/>
      <c r="C23" s="159"/>
      <c r="D23" s="17" t="s">
        <v>134</v>
      </c>
      <c r="E23" s="22" t="s">
        <v>135</v>
      </c>
      <c r="F23" s="22" t="s">
        <v>134</v>
      </c>
      <c r="G23" s="22" t="s">
        <v>135</v>
      </c>
      <c r="H23" s="42"/>
      <c r="I23" s="42"/>
    </row>
    <row r="24" spans="1:9" ht="15" customHeight="1">
      <c r="A24" s="18" t="s">
        <v>139</v>
      </c>
      <c r="B24" s="19"/>
      <c r="C24" s="20"/>
      <c r="D24" s="21">
        <v>2633</v>
      </c>
      <c r="E24" s="93">
        <f>D24/D29*100</f>
        <v>30.842216235211435</v>
      </c>
      <c r="F24" s="123">
        <v>5017</v>
      </c>
      <c r="G24" s="93">
        <f>F24/F29*100</f>
        <v>46.96246372741739</v>
      </c>
      <c r="H24" s="32"/>
      <c r="I24" s="32"/>
    </row>
    <row r="25" spans="1:9" ht="15" customHeight="1">
      <c r="A25" s="23" t="s">
        <v>140</v>
      </c>
      <c r="B25" s="24"/>
      <c r="C25" s="25"/>
      <c r="D25" s="46">
        <v>0</v>
      </c>
      <c r="E25" s="93">
        <v>0</v>
      </c>
      <c r="F25" s="123">
        <v>0</v>
      </c>
      <c r="G25" s="93">
        <f>F25/F29*100</f>
        <v>0</v>
      </c>
      <c r="H25" s="30"/>
      <c r="I25" s="45"/>
    </row>
    <row r="26" spans="1:9" ht="15" customHeight="1">
      <c r="A26" s="23" t="s">
        <v>195</v>
      </c>
      <c r="B26" s="24"/>
      <c r="C26" s="25"/>
      <c r="D26" s="26">
        <v>1866</v>
      </c>
      <c r="E26" s="93">
        <f>D26/D29*100</f>
        <v>21.85779547850533</v>
      </c>
      <c r="F26" s="123">
        <v>1964</v>
      </c>
      <c r="G26" s="93">
        <f>F26/F29*100</f>
        <v>18.384348965646353</v>
      </c>
      <c r="H26" s="30"/>
      <c r="I26" s="45"/>
    </row>
    <row r="27" spans="1:9" ht="15" customHeight="1">
      <c r="A27" s="150" t="s">
        <v>194</v>
      </c>
      <c r="B27" s="155"/>
      <c r="C27" s="25"/>
      <c r="D27" s="26">
        <v>2730</v>
      </c>
      <c r="E27" s="93">
        <f>D27/D29*100</f>
        <v>31.978446761157315</v>
      </c>
      <c r="F27" s="123">
        <v>1806</v>
      </c>
      <c r="G27" s="93">
        <f>F27/F29*100</f>
        <v>16.90536366189273</v>
      </c>
      <c r="H27" s="30"/>
      <c r="I27" s="45"/>
    </row>
    <row r="28" spans="1:9" ht="15" customHeight="1">
      <c r="A28" s="23" t="s">
        <v>141</v>
      </c>
      <c r="B28" s="24"/>
      <c r="C28" s="25"/>
      <c r="D28" s="26">
        <v>1308</v>
      </c>
      <c r="E28" s="93">
        <f>D28/D29*100</f>
        <v>15.321541525125923</v>
      </c>
      <c r="F28" s="123">
        <f>1450+421+25</f>
        <v>1896</v>
      </c>
      <c r="G28" s="93">
        <f>F28/F29*100</f>
        <v>17.74782364504353</v>
      </c>
      <c r="H28" s="30"/>
      <c r="I28" s="45"/>
    </row>
    <row r="29" spans="1:10" ht="15" customHeight="1">
      <c r="A29" s="150" t="s">
        <v>136</v>
      </c>
      <c r="B29" s="155"/>
      <c r="C29" s="154"/>
      <c r="D29" s="26">
        <f>SUM(D24:D28)</f>
        <v>8537</v>
      </c>
      <c r="E29" s="93">
        <v>100</v>
      </c>
      <c r="F29" s="46">
        <f>SUM(F24:F28)</f>
        <v>10683</v>
      </c>
      <c r="G29" s="46">
        <f>SUM(G24:G28)</f>
        <v>100</v>
      </c>
      <c r="H29" s="32"/>
      <c r="I29" s="45"/>
      <c r="J29" s="1" t="s">
        <v>142</v>
      </c>
    </row>
    <row r="30" spans="1:9" ht="15" customHeight="1">
      <c r="A30" s="94"/>
      <c r="B30" s="94"/>
      <c r="C30" s="94"/>
      <c r="D30" s="30"/>
      <c r="E30" s="48"/>
      <c r="F30" s="30"/>
      <c r="G30" s="48"/>
      <c r="H30" s="32"/>
      <c r="I30" s="45"/>
    </row>
    <row r="31" spans="1:9" ht="15" customHeight="1">
      <c r="A31" s="94"/>
      <c r="B31" s="94"/>
      <c r="C31" s="94"/>
      <c r="D31" s="30"/>
      <c r="E31" s="48"/>
      <c r="F31" s="30"/>
      <c r="G31" s="48"/>
      <c r="H31" s="32"/>
      <c r="I31" s="45"/>
    </row>
    <row r="32" spans="1:9" ht="15" customHeight="1">
      <c r="A32" s="94"/>
      <c r="B32" s="94"/>
      <c r="C32" s="94"/>
      <c r="D32" s="30"/>
      <c r="E32" s="48"/>
      <c r="F32" s="30"/>
      <c r="G32" s="48"/>
      <c r="H32" s="32"/>
      <c r="I32" s="45"/>
    </row>
    <row r="33" spans="1:9" ht="15" customHeight="1">
      <c r="A33" s="94"/>
      <c r="B33" s="94"/>
      <c r="C33" s="94"/>
      <c r="D33" s="30"/>
      <c r="E33" s="48"/>
      <c r="F33" s="30"/>
      <c r="G33" s="48"/>
      <c r="H33" s="32"/>
      <c r="I33" s="45"/>
    </row>
    <row r="34" spans="1:9" ht="15" customHeight="1">
      <c r="A34" s="94"/>
      <c r="B34" s="94"/>
      <c r="C34" s="94"/>
      <c r="D34" s="30"/>
      <c r="E34" s="48"/>
      <c r="F34" s="30"/>
      <c r="G34" s="48"/>
      <c r="H34" s="32"/>
      <c r="I34" s="45"/>
    </row>
    <row r="35" spans="1:9" ht="15" customHeight="1">
      <c r="A35" s="94"/>
      <c r="B35" s="94"/>
      <c r="C35" s="94"/>
      <c r="D35" s="30"/>
      <c r="E35" s="48"/>
      <c r="F35" s="30"/>
      <c r="G35" s="48"/>
      <c r="H35" s="32"/>
      <c r="I35" s="45"/>
    </row>
    <row r="36" spans="1:9" ht="15" customHeight="1">
      <c r="A36" s="94"/>
      <c r="B36" s="94"/>
      <c r="C36" s="94"/>
      <c r="D36" s="30"/>
      <c r="E36" s="48"/>
      <c r="F36" s="30"/>
      <c r="G36" s="48"/>
      <c r="H36" s="32"/>
      <c r="I36" s="45"/>
    </row>
    <row r="37" spans="1:9" ht="15" customHeight="1">
      <c r="A37" s="94"/>
      <c r="B37" s="94"/>
      <c r="C37" s="94"/>
      <c r="D37" s="30"/>
      <c r="E37" s="48"/>
      <c r="F37" s="30"/>
      <c r="G37" s="48"/>
      <c r="H37" s="32"/>
      <c r="I37" s="45"/>
    </row>
    <row r="38" spans="1:9" ht="15" customHeight="1">
      <c r="A38" s="94"/>
      <c r="B38" s="94"/>
      <c r="C38" s="94"/>
      <c r="D38" s="30"/>
      <c r="E38" s="48"/>
      <c r="F38" s="30"/>
      <c r="G38" s="48"/>
      <c r="H38" s="32"/>
      <c r="I38" s="45"/>
    </row>
    <row r="39" spans="1:9" ht="15" customHeight="1">
      <c r="A39" s="94"/>
      <c r="B39" s="94"/>
      <c r="C39" s="94"/>
      <c r="D39" s="30"/>
      <c r="E39" s="48"/>
      <c r="F39" s="30"/>
      <c r="G39" s="48"/>
      <c r="H39" s="32"/>
      <c r="I39" s="45"/>
    </row>
    <row r="40" spans="1:9" ht="15" customHeight="1">
      <c r="A40" s="94"/>
      <c r="B40" s="94"/>
      <c r="C40" s="94"/>
      <c r="D40" s="30"/>
      <c r="E40" s="48"/>
      <c r="F40" s="30"/>
      <c r="G40" s="48"/>
      <c r="H40" s="32"/>
      <c r="I40" s="45"/>
    </row>
    <row r="41" spans="1:9" ht="15" customHeight="1">
      <c r="A41" s="94"/>
      <c r="B41" s="94"/>
      <c r="C41" s="94"/>
      <c r="D41" s="30"/>
      <c r="E41" s="48"/>
      <c r="F41" s="30"/>
      <c r="G41" s="48"/>
      <c r="H41" s="32"/>
      <c r="I41" s="45"/>
    </row>
    <row r="42" spans="1:9" ht="15" customHeight="1">
      <c r="A42" s="94"/>
      <c r="B42" s="94"/>
      <c r="C42" s="94"/>
      <c r="D42" s="30"/>
      <c r="E42" s="48"/>
      <c r="F42" s="30"/>
      <c r="G42" s="48"/>
      <c r="H42" s="32"/>
      <c r="I42" s="45"/>
    </row>
    <row r="43" spans="1:9" ht="15" customHeight="1">
      <c r="A43" s="94"/>
      <c r="B43" s="94"/>
      <c r="C43" s="94"/>
      <c r="D43" s="30"/>
      <c r="E43" s="48"/>
      <c r="F43" s="30"/>
      <c r="G43" s="48"/>
      <c r="H43" s="32"/>
      <c r="I43" s="45"/>
    </row>
    <row r="44" spans="1:9" ht="15" customHeight="1">
      <c r="A44" s="94"/>
      <c r="B44" s="94"/>
      <c r="C44" s="94"/>
      <c r="D44" s="30"/>
      <c r="E44" s="48"/>
      <c r="F44" s="30"/>
      <c r="G44" s="48"/>
      <c r="H44" s="32"/>
      <c r="I44" s="45"/>
    </row>
    <row r="45" spans="1:9" ht="15" customHeight="1">
      <c r="A45" s="94"/>
      <c r="B45" s="94"/>
      <c r="C45" s="94"/>
      <c r="D45" s="30"/>
      <c r="E45" s="48"/>
      <c r="F45" s="30"/>
      <c r="G45" s="48"/>
      <c r="H45" s="32"/>
      <c r="I45" s="45"/>
    </row>
    <row r="46" spans="1:9" ht="15" customHeight="1">
      <c r="A46" s="94"/>
      <c r="B46" s="94"/>
      <c r="C46" s="94"/>
      <c r="D46" s="30"/>
      <c r="E46" s="48"/>
      <c r="F46" s="30"/>
      <c r="G46" s="48"/>
      <c r="H46" s="32"/>
      <c r="I46" s="45"/>
    </row>
    <row r="47" spans="1:9" ht="15" customHeight="1">
      <c r="A47" s="94"/>
      <c r="B47" s="94"/>
      <c r="C47" s="94"/>
      <c r="D47" s="30"/>
      <c r="E47" s="48"/>
      <c r="F47" s="30"/>
      <c r="G47" s="48"/>
      <c r="H47" s="32"/>
      <c r="I47" s="45"/>
    </row>
    <row r="48" spans="1:9" ht="15" customHeight="1">
      <c r="A48" s="94"/>
      <c r="B48" s="94"/>
      <c r="C48" s="94"/>
      <c r="D48" s="30"/>
      <c r="E48" s="48"/>
      <c r="F48" s="30"/>
      <c r="G48" s="48"/>
      <c r="H48" s="32"/>
      <c r="I48" s="45"/>
    </row>
    <row r="49" spans="1:9" ht="15" customHeight="1">
      <c r="A49" s="94"/>
      <c r="B49" s="94"/>
      <c r="C49" s="94"/>
      <c r="D49" s="30"/>
      <c r="E49" s="48"/>
      <c r="F49" s="30"/>
      <c r="G49" s="48"/>
      <c r="H49" s="32"/>
      <c r="I49" s="45"/>
    </row>
    <row r="50" spans="1:9" ht="15" customHeight="1">
      <c r="A50" s="94"/>
      <c r="B50" s="94"/>
      <c r="C50" s="94"/>
      <c r="D50" s="30"/>
      <c r="E50" s="48"/>
      <c r="F50" s="30"/>
      <c r="G50" s="48"/>
      <c r="H50" s="32"/>
      <c r="I50" s="45"/>
    </row>
    <row r="51" spans="1:9" ht="15" customHeight="1">
      <c r="A51" s="94"/>
      <c r="B51" s="94"/>
      <c r="C51" s="94"/>
      <c r="D51" s="30"/>
      <c r="E51" s="48"/>
      <c r="F51" s="30"/>
      <c r="G51" s="48"/>
      <c r="H51" s="32"/>
      <c r="I51" s="45"/>
    </row>
    <row r="52" spans="1:9" ht="15" customHeight="1">
      <c r="A52" s="94"/>
      <c r="B52" s="94"/>
      <c r="C52" s="94"/>
      <c r="D52" s="30"/>
      <c r="E52" s="48"/>
      <c r="F52" s="30"/>
      <c r="G52" s="48"/>
      <c r="H52" s="32"/>
      <c r="I52" s="45"/>
    </row>
    <row r="53" spans="1:9" ht="15" customHeight="1">
      <c r="A53" s="94"/>
      <c r="B53" s="94"/>
      <c r="C53" s="94"/>
      <c r="D53" s="30"/>
      <c r="E53" s="48"/>
      <c r="F53" s="30"/>
      <c r="G53" s="48"/>
      <c r="H53" s="32"/>
      <c r="I53" s="45"/>
    </row>
    <row r="54" spans="1:9" ht="15" customHeight="1">
      <c r="A54" s="94"/>
      <c r="B54" s="94"/>
      <c r="C54" s="94"/>
      <c r="D54" s="30"/>
      <c r="E54" s="48"/>
      <c r="F54" s="30"/>
      <c r="G54" s="48"/>
      <c r="H54" s="32"/>
      <c r="I54" s="45"/>
    </row>
    <row r="70" spans="1:9" ht="15" customHeight="1">
      <c r="A70" s="156" t="s">
        <v>9</v>
      </c>
      <c r="B70" s="156"/>
      <c r="C70" s="156"/>
      <c r="D70" s="156"/>
      <c r="E70" s="156"/>
      <c r="F70" s="156"/>
      <c r="G70" s="156"/>
      <c r="H70" s="156"/>
      <c r="I70" s="156"/>
    </row>
    <row r="71" spans="1:9" ht="15" customHeight="1">
      <c r="A71" s="133" t="s">
        <v>245</v>
      </c>
      <c r="B71" s="133"/>
      <c r="C71" s="133"/>
      <c r="D71" s="133"/>
      <c r="E71" s="133"/>
      <c r="F71" s="133"/>
      <c r="G71" s="133"/>
      <c r="H71" s="133"/>
      <c r="I71" s="133"/>
    </row>
    <row r="72" spans="1:9" ht="15" customHeight="1">
      <c r="A72" s="133"/>
      <c r="B72" s="133"/>
      <c r="C72" s="133"/>
      <c r="D72" s="133"/>
      <c r="E72" s="133"/>
      <c r="F72" s="133"/>
      <c r="G72" s="133"/>
      <c r="H72" s="133"/>
      <c r="I72" s="133"/>
    </row>
    <row r="73" spans="1:9" ht="15" customHeight="1">
      <c r="A73" s="16"/>
      <c r="B73" s="3"/>
      <c r="D73" s="146" t="s">
        <v>138</v>
      </c>
      <c r="E73" s="147"/>
      <c r="F73" s="146" t="s">
        <v>247</v>
      </c>
      <c r="G73" s="148"/>
      <c r="H73" s="149"/>
      <c r="I73" s="149"/>
    </row>
    <row r="74" spans="1:9" ht="15" customHeight="1">
      <c r="A74" s="149"/>
      <c r="B74" s="149"/>
      <c r="C74" s="149"/>
      <c r="D74" s="22" t="s">
        <v>134</v>
      </c>
      <c r="E74" s="43" t="s">
        <v>135</v>
      </c>
      <c r="F74" s="22" t="s">
        <v>134</v>
      </c>
      <c r="G74" s="22" t="s">
        <v>135</v>
      </c>
      <c r="H74" s="42"/>
      <c r="I74" s="42"/>
    </row>
    <row r="75" spans="1:9" ht="15" customHeight="1">
      <c r="A75" s="23" t="s">
        <v>10</v>
      </c>
      <c r="B75" s="24"/>
      <c r="C75" s="25"/>
      <c r="D75" s="26">
        <v>2794</v>
      </c>
      <c r="E75" s="44">
        <f>D75/D77*100</f>
        <v>48.11434475632857</v>
      </c>
      <c r="F75" s="46">
        <v>3498</v>
      </c>
      <c r="G75" s="110">
        <f>F75/F77*100</f>
        <v>50.107434464976365</v>
      </c>
      <c r="H75" s="32"/>
      <c r="I75" s="48"/>
    </row>
    <row r="76" spans="1:9" ht="15" customHeight="1">
      <c r="A76" s="23" t="s">
        <v>11</v>
      </c>
      <c r="B76" s="24"/>
      <c r="C76" s="25"/>
      <c r="D76" s="26">
        <v>3013</v>
      </c>
      <c r="E76" s="44">
        <f>D76/D77*100</f>
        <v>51.88565524367144</v>
      </c>
      <c r="F76" s="109">
        <v>3483</v>
      </c>
      <c r="G76" s="110">
        <f>F76/F77*100</f>
        <v>49.892565535023635</v>
      </c>
      <c r="H76" s="32"/>
      <c r="I76" s="48"/>
    </row>
    <row r="77" spans="1:9" ht="15" customHeight="1">
      <c r="A77" s="150" t="s">
        <v>136</v>
      </c>
      <c r="B77" s="155"/>
      <c r="C77" s="154"/>
      <c r="D77" s="26">
        <f>SUM(D75:D76)</f>
        <v>5807</v>
      </c>
      <c r="E77" s="47">
        <v>100</v>
      </c>
      <c r="F77" s="109">
        <f>SUM(F75:F76)</f>
        <v>6981</v>
      </c>
      <c r="G77" s="109">
        <f>SUM(G75:G76)</f>
        <v>100</v>
      </c>
      <c r="H77" s="32"/>
      <c r="I77" s="33"/>
    </row>
    <row r="78" spans="1:9" ht="15" customHeight="1">
      <c r="A78" s="94"/>
      <c r="B78" s="94"/>
      <c r="C78" s="94"/>
      <c r="D78" s="30"/>
      <c r="E78" s="31"/>
      <c r="F78" s="30"/>
      <c r="G78" s="30"/>
      <c r="H78" s="32"/>
      <c r="I78" s="33"/>
    </row>
    <row r="79" spans="1:9" ht="15" customHeight="1">
      <c r="A79" s="94"/>
      <c r="B79" s="94"/>
      <c r="C79" s="94"/>
      <c r="D79" s="30"/>
      <c r="E79" s="31"/>
      <c r="F79" s="30"/>
      <c r="G79" s="30"/>
      <c r="H79" s="32"/>
      <c r="I79" s="33"/>
    </row>
    <row r="80" spans="1:9" ht="15" customHeight="1">
      <c r="A80" s="94"/>
      <c r="B80" s="94"/>
      <c r="C80" s="94"/>
      <c r="D80" s="30"/>
      <c r="E80" s="31"/>
      <c r="F80" s="30"/>
      <c r="G80" s="30"/>
      <c r="H80" s="32"/>
      <c r="I80" s="33"/>
    </row>
    <row r="81" spans="1:9" ht="15" customHeight="1">
      <c r="A81" s="94"/>
      <c r="B81" s="94"/>
      <c r="C81" s="94"/>
      <c r="D81" s="30"/>
      <c r="E81" s="31"/>
      <c r="F81" s="30"/>
      <c r="G81" s="30"/>
      <c r="H81" s="32"/>
      <c r="I81" s="33"/>
    </row>
    <row r="82" spans="1:9" ht="15" customHeight="1">
      <c r="A82" s="94"/>
      <c r="B82" s="94"/>
      <c r="C82" s="94"/>
      <c r="D82" s="30"/>
      <c r="E82" s="31"/>
      <c r="F82" s="30"/>
      <c r="G82" s="30"/>
      <c r="H82" s="32"/>
      <c r="I82" s="33"/>
    </row>
    <row r="83" spans="1:9" ht="15" customHeight="1">
      <c r="A83" s="94"/>
      <c r="B83" s="94"/>
      <c r="C83" s="94"/>
      <c r="D83" s="30"/>
      <c r="E83" s="31"/>
      <c r="F83" s="30"/>
      <c r="G83" s="30"/>
      <c r="H83" s="32"/>
      <c r="I83" s="33"/>
    </row>
    <row r="84" spans="1:9" ht="15" customHeight="1">
      <c r="A84" s="94"/>
      <c r="B84" s="94"/>
      <c r="C84" s="94"/>
      <c r="D84" s="30"/>
      <c r="E84" s="31"/>
      <c r="F84" s="30"/>
      <c r="G84" s="30"/>
      <c r="H84" s="32"/>
      <c r="I84" s="33"/>
    </row>
    <row r="85" spans="1:9" ht="15" customHeight="1">
      <c r="A85" s="94"/>
      <c r="B85" s="94"/>
      <c r="C85" s="94"/>
      <c r="D85" s="30"/>
      <c r="E85" s="31"/>
      <c r="F85" s="30"/>
      <c r="G85" s="30"/>
      <c r="H85" s="32"/>
      <c r="I85" s="33"/>
    </row>
    <row r="86" spans="1:9" ht="15" customHeight="1">
      <c r="A86" s="94"/>
      <c r="B86" s="94"/>
      <c r="C86" s="94"/>
      <c r="D86" s="30"/>
      <c r="E86" s="31"/>
      <c r="F86" s="30"/>
      <c r="G86" s="30"/>
      <c r="H86" s="32"/>
      <c r="I86" s="33"/>
    </row>
    <row r="104" spans="1:9" ht="15" customHeight="1">
      <c r="A104" s="156" t="s">
        <v>145</v>
      </c>
      <c r="B104" s="156"/>
      <c r="C104" s="156"/>
      <c r="D104" s="156"/>
      <c r="E104" s="156"/>
      <c r="F104" s="156"/>
      <c r="G104" s="156"/>
      <c r="H104" s="156"/>
      <c r="I104" s="156"/>
    </row>
    <row r="105" spans="1:9" ht="15" customHeight="1">
      <c r="A105" s="133" t="s">
        <v>21</v>
      </c>
      <c r="B105" s="133"/>
      <c r="C105" s="133"/>
      <c r="D105" s="133"/>
      <c r="E105" s="133"/>
      <c r="F105" s="133"/>
      <c r="G105" s="133"/>
      <c r="H105" s="133"/>
      <c r="I105" s="133"/>
    </row>
    <row r="106" spans="1:9" ht="15" customHeight="1">
      <c r="A106" s="133"/>
      <c r="B106" s="133"/>
      <c r="C106" s="133"/>
      <c r="D106" s="133"/>
      <c r="E106" s="133"/>
      <c r="F106" s="133"/>
      <c r="G106" s="133"/>
      <c r="H106" s="133"/>
      <c r="I106" s="133"/>
    </row>
    <row r="107" spans="1:9" ht="15" customHeight="1">
      <c r="A107" s="133"/>
      <c r="B107" s="133"/>
      <c r="C107" s="133"/>
      <c r="D107" s="133"/>
      <c r="E107" s="133"/>
      <c r="F107" s="133"/>
      <c r="G107" s="133"/>
      <c r="H107" s="133"/>
      <c r="I107" s="133"/>
    </row>
    <row r="108" spans="1:9" ht="15" customHeight="1">
      <c r="A108" s="133"/>
      <c r="B108" s="133"/>
      <c r="C108" s="133"/>
      <c r="D108" s="133"/>
      <c r="E108" s="133"/>
      <c r="F108" s="133"/>
      <c r="G108" s="133"/>
      <c r="H108" s="133"/>
      <c r="I108" s="133"/>
    </row>
    <row r="109" spans="1:9" ht="15" customHeight="1">
      <c r="A109" s="133" t="s">
        <v>203</v>
      </c>
      <c r="B109" s="133"/>
      <c r="C109" s="133"/>
      <c r="D109" s="133"/>
      <c r="E109" s="133"/>
      <c r="F109" s="133"/>
      <c r="G109" s="133"/>
      <c r="H109" s="133"/>
      <c r="I109" s="133"/>
    </row>
    <row r="110" spans="1:9" ht="15" customHeight="1">
      <c r="A110" s="133"/>
      <c r="B110" s="133"/>
      <c r="C110" s="133"/>
      <c r="D110" s="133"/>
      <c r="E110" s="133"/>
      <c r="F110" s="133"/>
      <c r="G110" s="133"/>
      <c r="H110" s="133"/>
      <c r="I110" s="133"/>
    </row>
    <row r="111" spans="1:9" ht="15" customHeight="1">
      <c r="A111" s="2"/>
      <c r="B111" s="2"/>
      <c r="C111" s="2"/>
      <c r="D111" s="2"/>
      <c r="E111" s="2"/>
      <c r="F111" s="2"/>
      <c r="G111" s="2"/>
      <c r="H111" s="2"/>
      <c r="I111" s="2"/>
    </row>
    <row r="112" spans="1:9" ht="15" customHeight="1">
      <c r="A112" s="16"/>
      <c r="B112" s="3"/>
      <c r="D112" s="146" t="s">
        <v>138</v>
      </c>
      <c r="E112" s="147"/>
      <c r="F112" s="146" t="s">
        <v>247</v>
      </c>
      <c r="G112" s="148"/>
      <c r="H112" s="149"/>
      <c r="I112" s="149"/>
    </row>
    <row r="113" spans="1:9" ht="15" customHeight="1">
      <c r="A113" s="149"/>
      <c r="B113" s="149"/>
      <c r="C113" s="149"/>
      <c r="D113" s="22" t="s">
        <v>143</v>
      </c>
      <c r="E113" s="43" t="s">
        <v>135</v>
      </c>
      <c r="F113" s="22" t="s">
        <v>143</v>
      </c>
      <c r="G113" s="22" t="s">
        <v>135</v>
      </c>
      <c r="H113" s="42"/>
      <c r="I113" s="42"/>
    </row>
    <row r="114" spans="1:9" ht="27" customHeight="1">
      <c r="A114" s="150" t="s">
        <v>146</v>
      </c>
      <c r="B114" s="151"/>
      <c r="C114" s="25"/>
      <c r="D114" s="26">
        <v>3339</v>
      </c>
      <c r="E114" s="44">
        <f>D114/D116*100</f>
        <v>57.49956948510418</v>
      </c>
      <c r="F114" s="117">
        <v>4802</v>
      </c>
      <c r="G114" s="93">
        <f>F114/F116*100</f>
        <v>68.78670677553359</v>
      </c>
      <c r="H114" s="32"/>
      <c r="I114" s="48"/>
    </row>
    <row r="115" spans="1:9" ht="26.25" customHeight="1">
      <c r="A115" s="150" t="s">
        <v>147</v>
      </c>
      <c r="B115" s="155"/>
      <c r="C115" s="25"/>
      <c r="D115" s="26">
        <f>D116-D114</f>
        <v>2468</v>
      </c>
      <c r="E115" s="44">
        <f>D115/D116*100</f>
        <v>42.50043051489582</v>
      </c>
      <c r="F115" s="46">
        <v>2179</v>
      </c>
      <c r="G115" s="110">
        <f>F115/F116*100</f>
        <v>31.21329322446641</v>
      </c>
      <c r="H115" s="32"/>
      <c r="I115" s="48"/>
    </row>
    <row r="116" spans="1:9" ht="15" customHeight="1">
      <c r="A116" s="152" t="s">
        <v>144</v>
      </c>
      <c r="B116" s="153"/>
      <c r="C116" s="154"/>
      <c r="D116" s="26">
        <v>5807</v>
      </c>
      <c r="E116" s="47">
        <v>100</v>
      </c>
      <c r="F116" s="46">
        <f>SUM(F114:F115)</f>
        <v>6981</v>
      </c>
      <c r="G116" s="110">
        <f>SUM(G114:G115)</f>
        <v>100</v>
      </c>
      <c r="H116" s="32"/>
      <c r="I116" s="33"/>
    </row>
    <row r="117" spans="1:9" ht="15" customHeight="1">
      <c r="A117" s="94"/>
      <c r="B117" s="94"/>
      <c r="C117" s="94"/>
      <c r="D117" s="30"/>
      <c r="E117" s="31"/>
      <c r="F117" s="30"/>
      <c r="G117" s="48"/>
      <c r="H117" s="32"/>
      <c r="I117" s="33"/>
    </row>
    <row r="118" spans="1:9" ht="15" customHeight="1">
      <c r="A118" s="94"/>
      <c r="B118" s="94"/>
      <c r="C118" s="94"/>
      <c r="D118" s="30"/>
      <c r="E118" s="31"/>
      <c r="F118" s="30"/>
      <c r="G118" s="48"/>
      <c r="H118" s="32"/>
      <c r="I118" s="33"/>
    </row>
    <row r="119" spans="1:9" ht="15" customHeight="1">
      <c r="A119" s="94"/>
      <c r="B119" s="94"/>
      <c r="C119" s="94"/>
      <c r="D119" s="30"/>
      <c r="E119" s="31"/>
      <c r="F119" s="30"/>
      <c r="G119" s="48"/>
      <c r="H119" s="32"/>
      <c r="I119" s="33"/>
    </row>
    <row r="120" spans="1:9" ht="15" customHeight="1">
      <c r="A120" s="94"/>
      <c r="B120" s="94"/>
      <c r="C120" s="94"/>
      <c r="D120" s="30"/>
      <c r="E120" s="31"/>
      <c r="F120" s="30"/>
      <c r="G120" s="48"/>
      <c r="H120" s="32"/>
      <c r="I120" s="33"/>
    </row>
    <row r="121" spans="1:9" ht="15" customHeight="1">
      <c r="A121" s="94"/>
      <c r="B121" s="94"/>
      <c r="C121" s="94"/>
      <c r="D121" s="30"/>
      <c r="E121" s="31"/>
      <c r="F121" s="30"/>
      <c r="G121" s="48"/>
      <c r="H121" s="32"/>
      <c r="I121" s="33"/>
    </row>
    <row r="122" spans="1:9" ht="15" customHeight="1">
      <c r="A122" s="94"/>
      <c r="B122" s="94"/>
      <c r="C122" s="94"/>
      <c r="D122" s="30"/>
      <c r="E122" s="31"/>
      <c r="F122" s="30"/>
      <c r="G122" s="48"/>
      <c r="H122" s="32"/>
      <c r="I122" s="33"/>
    </row>
    <row r="123" spans="1:9" ht="15" customHeight="1">
      <c r="A123" s="94"/>
      <c r="B123" s="94"/>
      <c r="C123" s="94"/>
      <c r="D123" s="30"/>
      <c r="E123" s="31"/>
      <c r="F123" s="30"/>
      <c r="G123" s="48"/>
      <c r="H123" s="32"/>
      <c r="I123" s="33"/>
    </row>
    <row r="124" spans="1:9" ht="15" customHeight="1">
      <c r="A124" s="94"/>
      <c r="B124" s="94"/>
      <c r="C124" s="94"/>
      <c r="D124" s="30"/>
      <c r="E124" s="31"/>
      <c r="F124" s="30"/>
      <c r="G124" s="48"/>
      <c r="H124" s="32"/>
      <c r="I124" s="33"/>
    </row>
    <row r="125" spans="1:9" ht="15" customHeight="1">
      <c r="A125" s="94"/>
      <c r="B125" s="94"/>
      <c r="C125" s="94"/>
      <c r="D125" s="30"/>
      <c r="E125" s="31"/>
      <c r="F125" s="30"/>
      <c r="G125" s="48"/>
      <c r="H125" s="32"/>
      <c r="I125" s="33"/>
    </row>
    <row r="126" spans="1:9" ht="15" customHeight="1">
      <c r="A126" s="94"/>
      <c r="B126" s="94"/>
      <c r="C126" s="94"/>
      <c r="D126" s="30"/>
      <c r="E126" s="31"/>
      <c r="F126" s="30"/>
      <c r="G126" s="48"/>
      <c r="H126" s="32"/>
      <c r="I126" s="33"/>
    </row>
    <row r="127" spans="1:9" ht="15" customHeight="1">
      <c r="A127" s="94"/>
      <c r="B127" s="94"/>
      <c r="C127" s="94"/>
      <c r="D127" s="30"/>
      <c r="E127" s="31"/>
      <c r="F127" s="30"/>
      <c r="G127" s="48"/>
      <c r="H127" s="32"/>
      <c r="I127" s="33"/>
    </row>
    <row r="128" spans="1:9" ht="15" customHeight="1">
      <c r="A128" s="94"/>
      <c r="B128" s="94"/>
      <c r="C128" s="94"/>
      <c r="D128" s="30"/>
      <c r="E128" s="31"/>
      <c r="F128" s="30"/>
      <c r="G128" s="48"/>
      <c r="H128" s="32"/>
      <c r="I128" s="33"/>
    </row>
    <row r="141" spans="1:9" ht="15" customHeight="1">
      <c r="A141" s="133" t="s">
        <v>278</v>
      </c>
      <c r="B141" s="133"/>
      <c r="C141" s="133"/>
      <c r="D141" s="133"/>
      <c r="E141" s="133"/>
      <c r="F141" s="133"/>
      <c r="G141" s="133"/>
      <c r="H141" s="133"/>
      <c r="I141" s="133"/>
    </row>
    <row r="142" spans="1:9" ht="15" customHeight="1">
      <c r="A142" s="133"/>
      <c r="B142" s="133"/>
      <c r="C142" s="133"/>
      <c r="D142" s="133"/>
      <c r="E142" s="133"/>
      <c r="F142" s="133"/>
      <c r="G142" s="133"/>
      <c r="H142" s="133"/>
      <c r="I142" s="133"/>
    </row>
    <row r="143" spans="1:9" ht="15" customHeight="1">
      <c r="A143" s="2"/>
      <c r="B143" s="2"/>
      <c r="C143" s="2"/>
      <c r="D143" s="2"/>
      <c r="E143" s="2"/>
      <c r="F143" s="2"/>
      <c r="G143" s="2"/>
      <c r="H143" s="2"/>
      <c r="I143" s="2"/>
    </row>
    <row r="144" spans="1:9" ht="15" customHeight="1">
      <c r="A144" s="16"/>
      <c r="B144" s="3"/>
      <c r="D144" s="146" t="s">
        <v>138</v>
      </c>
      <c r="E144" s="147"/>
      <c r="F144" s="146" t="s">
        <v>247</v>
      </c>
      <c r="G144" s="148"/>
      <c r="H144" s="149"/>
      <c r="I144" s="149"/>
    </row>
    <row r="145" spans="1:9" ht="15" customHeight="1">
      <c r="A145" s="149"/>
      <c r="B145" s="149"/>
      <c r="C145" s="149"/>
      <c r="D145" s="22" t="s">
        <v>143</v>
      </c>
      <c r="E145" s="43" t="s">
        <v>135</v>
      </c>
      <c r="F145" s="22" t="s">
        <v>143</v>
      </c>
      <c r="G145" s="22" t="s">
        <v>135</v>
      </c>
      <c r="H145" s="42"/>
      <c r="I145" s="42"/>
    </row>
    <row r="146" spans="1:9" ht="15" customHeight="1">
      <c r="A146" s="27" t="s">
        <v>279</v>
      </c>
      <c r="B146" s="28"/>
      <c r="C146" s="29"/>
      <c r="D146" s="26">
        <v>2633</v>
      </c>
      <c r="E146" s="44">
        <f>D146/D150*100</f>
        <v>92.483315770987</v>
      </c>
      <c r="F146" s="46">
        <v>2574</v>
      </c>
      <c r="G146" s="110">
        <f>F146/F150*100</f>
        <v>96.29629629629629</v>
      </c>
      <c r="H146" s="32"/>
      <c r="I146" s="48"/>
    </row>
    <row r="147" spans="1:9" ht="15" customHeight="1">
      <c r="A147" s="23" t="s">
        <v>148</v>
      </c>
      <c r="B147" s="24"/>
      <c r="C147" s="25"/>
      <c r="D147" s="17">
        <v>184</v>
      </c>
      <c r="E147" s="44">
        <f>D147/D150*100</f>
        <v>6.462943449244819</v>
      </c>
      <c r="F147" s="22">
        <v>93.5</v>
      </c>
      <c r="G147" s="110">
        <f>F147/F150*100</f>
        <v>3.4979423868312756</v>
      </c>
      <c r="H147" s="32"/>
      <c r="I147" s="48"/>
    </row>
    <row r="148" spans="1:9" ht="15" customHeight="1">
      <c r="A148" s="27" t="s">
        <v>149</v>
      </c>
      <c r="B148" s="28"/>
      <c r="C148" s="25"/>
      <c r="D148" s="17">
        <v>0</v>
      </c>
      <c r="E148" s="44">
        <f>D148/D150*100</f>
        <v>0</v>
      </c>
      <c r="F148" s="22">
        <v>0</v>
      </c>
      <c r="G148" s="110">
        <f>F148/F150*100</f>
        <v>0</v>
      </c>
      <c r="H148" s="32"/>
      <c r="I148" s="48"/>
    </row>
    <row r="149" spans="1:9" ht="15" customHeight="1">
      <c r="A149" s="27" t="s">
        <v>150</v>
      </c>
      <c r="B149" s="28"/>
      <c r="C149" s="25"/>
      <c r="D149" s="17">
        <v>30</v>
      </c>
      <c r="E149" s="44">
        <f>D149/D150*100</f>
        <v>1.053740779768177</v>
      </c>
      <c r="F149" s="22">
        <v>5.5</v>
      </c>
      <c r="G149" s="110">
        <f>F149/F150*100</f>
        <v>0.205761316872428</v>
      </c>
      <c r="H149" s="32"/>
      <c r="I149" s="48"/>
    </row>
    <row r="150" spans="1:9" ht="15" customHeight="1">
      <c r="A150" s="150" t="s">
        <v>151</v>
      </c>
      <c r="B150" s="155"/>
      <c r="C150" s="154"/>
      <c r="D150" s="26">
        <f>SUM(D146:D149)</f>
        <v>2847</v>
      </c>
      <c r="E150" s="47">
        <v>100</v>
      </c>
      <c r="F150" s="109">
        <f>SUM(F146:F149)</f>
        <v>2673</v>
      </c>
      <c r="G150" s="111">
        <f>SUM(G146:G149)</f>
        <v>99.99999999999999</v>
      </c>
      <c r="H150" s="32"/>
      <c r="I150" s="33"/>
    </row>
    <row r="151" ht="12.75" customHeight="1"/>
    <row r="166" spans="1:9" ht="15" customHeight="1">
      <c r="A166" s="156" t="s">
        <v>152</v>
      </c>
      <c r="B166" s="156"/>
      <c r="C166" s="156"/>
      <c r="D166" s="156"/>
      <c r="E166" s="156"/>
      <c r="F166" s="156"/>
      <c r="G166" s="156"/>
      <c r="H166" s="156"/>
      <c r="I166" s="156"/>
    </row>
    <row r="167" spans="1:9" ht="15" customHeight="1">
      <c r="A167" s="133" t="s">
        <v>28</v>
      </c>
      <c r="B167" s="133"/>
      <c r="C167" s="133"/>
      <c r="D167" s="133"/>
      <c r="E167" s="133"/>
      <c r="F167" s="133"/>
      <c r="G167" s="133"/>
      <c r="H167" s="133"/>
      <c r="I167" s="133"/>
    </row>
    <row r="168" spans="1:9" ht="15" customHeight="1">
      <c r="A168" s="133"/>
      <c r="B168" s="133"/>
      <c r="C168" s="133"/>
      <c r="D168" s="133"/>
      <c r="E168" s="133"/>
      <c r="F168" s="133"/>
      <c r="G168" s="133"/>
      <c r="H168" s="133"/>
      <c r="I168" s="133"/>
    </row>
    <row r="169" spans="1:9" ht="15" customHeight="1">
      <c r="A169" s="133"/>
      <c r="B169" s="133"/>
      <c r="C169" s="133"/>
      <c r="D169" s="133"/>
      <c r="E169" s="133"/>
      <c r="F169" s="133"/>
      <c r="G169" s="133"/>
      <c r="H169" s="133"/>
      <c r="I169" s="133"/>
    </row>
    <row r="170" spans="1:9" ht="15" customHeight="1">
      <c r="A170" s="133" t="s">
        <v>27</v>
      </c>
      <c r="B170" s="133"/>
      <c r="C170" s="133"/>
      <c r="D170" s="133"/>
      <c r="E170" s="133"/>
      <c r="F170" s="133"/>
      <c r="G170" s="133"/>
      <c r="H170" s="133"/>
      <c r="I170" s="133"/>
    </row>
    <row r="171" spans="1:9" ht="15" customHeight="1">
      <c r="A171" s="133"/>
      <c r="B171" s="133"/>
      <c r="C171" s="133"/>
      <c r="D171" s="133"/>
      <c r="E171" s="133"/>
      <c r="F171" s="133"/>
      <c r="G171" s="133"/>
      <c r="H171" s="133"/>
      <c r="I171" s="133"/>
    </row>
    <row r="172" spans="1:9" ht="15" customHeight="1">
      <c r="A172" s="133" t="s">
        <v>276</v>
      </c>
      <c r="B172" s="133"/>
      <c r="C172" s="133"/>
      <c r="D172" s="133"/>
      <c r="E172" s="133"/>
      <c r="F172" s="133"/>
      <c r="G172" s="133"/>
      <c r="H172" s="133"/>
      <c r="I172" s="133"/>
    </row>
    <row r="173" spans="1:9" ht="15" customHeight="1">
      <c r="A173" s="133"/>
      <c r="B173" s="133"/>
      <c r="C173" s="133"/>
      <c r="D173" s="133"/>
      <c r="E173" s="133"/>
      <c r="F173" s="133"/>
      <c r="G173" s="133"/>
      <c r="H173" s="133"/>
      <c r="I173" s="133"/>
    </row>
    <row r="174" spans="1:9" ht="15" customHeight="1">
      <c r="A174" s="133"/>
      <c r="B174" s="133"/>
      <c r="C174" s="133"/>
      <c r="D174" s="133"/>
      <c r="E174" s="133"/>
      <c r="F174" s="133"/>
      <c r="G174" s="133"/>
      <c r="H174" s="133"/>
      <c r="I174" s="133"/>
    </row>
    <row r="175" spans="1:9" ht="15" customHeight="1">
      <c r="A175" s="133"/>
      <c r="B175" s="161"/>
      <c r="C175" s="133"/>
      <c r="D175" s="133"/>
      <c r="E175" s="133"/>
      <c r="F175" s="133"/>
      <c r="G175" s="133"/>
      <c r="H175" s="133"/>
      <c r="I175" s="133"/>
    </row>
    <row r="176" spans="1:9" ht="15" customHeight="1">
      <c r="A176" s="4" t="s">
        <v>156</v>
      </c>
      <c r="B176" s="2"/>
      <c r="C176" s="2"/>
      <c r="D176" s="2"/>
      <c r="E176" s="2"/>
      <c r="F176" s="2"/>
      <c r="G176" s="2"/>
      <c r="H176" s="2"/>
      <c r="I176" s="2"/>
    </row>
    <row r="177" spans="2:9" ht="15" customHeight="1">
      <c r="B177" s="162" t="s">
        <v>153</v>
      </c>
      <c r="C177" s="163"/>
      <c r="D177" s="162" t="s">
        <v>154</v>
      </c>
      <c r="E177" s="163"/>
      <c r="F177" s="162" t="s">
        <v>155</v>
      </c>
      <c r="G177" s="163"/>
      <c r="H177" s="166" t="s">
        <v>166</v>
      </c>
      <c r="I177" s="163"/>
    </row>
    <row r="178" spans="2:9" ht="15" customHeight="1">
      <c r="B178" s="164"/>
      <c r="C178" s="165"/>
      <c r="D178" s="164"/>
      <c r="E178" s="165"/>
      <c r="F178" s="164"/>
      <c r="G178" s="165"/>
      <c r="H178" s="167"/>
      <c r="I178" s="165"/>
    </row>
    <row r="179" spans="1:9" ht="15" customHeight="1">
      <c r="A179" s="8" t="s">
        <v>138</v>
      </c>
      <c r="B179" s="5">
        <v>3</v>
      </c>
      <c r="C179" s="6"/>
      <c r="D179" s="5">
        <v>84</v>
      </c>
      <c r="E179" s="6"/>
      <c r="F179" s="5">
        <v>52</v>
      </c>
      <c r="G179" s="6"/>
      <c r="H179" s="7">
        <f>F179/D179*100</f>
        <v>61.904761904761905</v>
      </c>
      <c r="I179" s="6"/>
    </row>
    <row r="180" spans="1:9" ht="15" customHeight="1">
      <c r="A180" s="8" t="s">
        <v>247</v>
      </c>
      <c r="B180" s="5">
        <v>3</v>
      </c>
      <c r="C180" s="6"/>
      <c r="D180" s="5">
        <v>99</v>
      </c>
      <c r="E180" s="6"/>
      <c r="F180" s="5">
        <v>70</v>
      </c>
      <c r="G180" s="122" t="s">
        <v>275</v>
      </c>
      <c r="H180" s="7">
        <f>F180/D180*100</f>
        <v>70.70707070707071</v>
      </c>
      <c r="I180" s="6"/>
    </row>
    <row r="181" spans="1:9" ht="15" customHeight="1">
      <c r="A181" s="3"/>
      <c r="B181" s="3"/>
      <c r="C181" s="3"/>
      <c r="D181" s="3"/>
      <c r="E181" s="3"/>
      <c r="F181" s="3"/>
      <c r="G181" s="3"/>
      <c r="H181" s="52"/>
      <c r="I181" s="3"/>
    </row>
    <row r="184" spans="1:2" ht="15" customHeight="1">
      <c r="A184" s="138" t="s">
        <v>157</v>
      </c>
      <c r="B184" s="138"/>
    </row>
    <row r="185" spans="1:9" ht="15" customHeight="1">
      <c r="A185" s="133" t="s">
        <v>158</v>
      </c>
      <c r="B185" s="133"/>
      <c r="C185" s="133"/>
      <c r="D185" s="133"/>
      <c r="E185" s="133"/>
      <c r="F185" s="133"/>
      <c r="G185" s="133"/>
      <c r="H185" s="133"/>
      <c r="I185" s="133"/>
    </row>
    <row r="186" spans="2:9" ht="15" customHeight="1">
      <c r="B186" s="162" t="s">
        <v>153</v>
      </c>
      <c r="C186" s="163"/>
      <c r="D186" s="162" t="s">
        <v>154</v>
      </c>
      <c r="E186" s="163"/>
      <c r="F186" s="162" t="s">
        <v>155</v>
      </c>
      <c r="G186" s="163"/>
      <c r="H186" s="166" t="s">
        <v>166</v>
      </c>
      <c r="I186" s="163"/>
    </row>
    <row r="187" spans="2:9" ht="15" customHeight="1">
      <c r="B187" s="164"/>
      <c r="C187" s="165"/>
      <c r="D187" s="164"/>
      <c r="E187" s="165"/>
      <c r="F187" s="164"/>
      <c r="G187" s="165"/>
      <c r="H187" s="167"/>
      <c r="I187" s="165"/>
    </row>
    <row r="188" spans="1:9" ht="15" customHeight="1">
      <c r="A188" s="8" t="s">
        <v>138</v>
      </c>
      <c r="B188" s="5">
        <v>10</v>
      </c>
      <c r="C188" s="6"/>
      <c r="D188" s="5">
        <v>100</v>
      </c>
      <c r="E188" s="6"/>
      <c r="F188" s="5">
        <v>77</v>
      </c>
      <c r="G188" s="6"/>
      <c r="H188" s="7">
        <f>F188/D188*100</f>
        <v>77</v>
      </c>
      <c r="I188" s="6"/>
    </row>
    <row r="189" spans="1:9" ht="15" customHeight="1">
      <c r="A189" s="8" t="s">
        <v>247</v>
      </c>
      <c r="B189" s="112">
        <v>11</v>
      </c>
      <c r="C189" s="113"/>
      <c r="D189" s="112">
        <v>110</v>
      </c>
      <c r="E189" s="113"/>
      <c r="F189" s="112">
        <v>89</v>
      </c>
      <c r="G189" s="113"/>
      <c r="H189" s="114">
        <v>81</v>
      </c>
      <c r="I189" s="113"/>
    </row>
    <row r="190" spans="1:9" ht="15" customHeight="1">
      <c r="A190" s="3"/>
      <c r="B190" s="3"/>
      <c r="C190" s="3"/>
      <c r="D190" s="3"/>
      <c r="E190" s="3"/>
      <c r="F190" s="3"/>
      <c r="G190" s="3"/>
      <c r="H190" s="52"/>
      <c r="I190" s="3"/>
    </row>
    <row r="191" spans="1:9" ht="15" customHeight="1">
      <c r="A191" s="3"/>
      <c r="B191" s="3"/>
      <c r="C191" s="3"/>
      <c r="D191" s="3"/>
      <c r="E191" s="3"/>
      <c r="F191" s="3"/>
      <c r="G191" s="3"/>
      <c r="H191" s="52"/>
      <c r="I191" s="3"/>
    </row>
    <row r="192" spans="1:9" ht="15" customHeight="1">
      <c r="A192" s="156" t="s">
        <v>159</v>
      </c>
      <c r="B192" s="156"/>
      <c r="C192" s="156"/>
      <c r="D192" s="156"/>
      <c r="E192" s="156"/>
      <c r="F192" s="156"/>
      <c r="G192" s="156"/>
      <c r="H192" s="156"/>
      <c r="I192" s="156"/>
    </row>
    <row r="193" spans="1:9" ht="15" customHeight="1">
      <c r="A193" s="133" t="s">
        <v>204</v>
      </c>
      <c r="B193" s="133"/>
      <c r="C193" s="133"/>
      <c r="D193" s="133"/>
      <c r="E193" s="133"/>
      <c r="F193" s="133"/>
      <c r="G193" s="133"/>
      <c r="H193" s="133"/>
      <c r="I193" s="133"/>
    </row>
    <row r="194" spans="1:9" ht="15" customHeight="1">
      <c r="A194" s="133"/>
      <c r="B194" s="133"/>
      <c r="C194" s="133"/>
      <c r="D194" s="133"/>
      <c r="E194" s="133"/>
      <c r="F194" s="133"/>
      <c r="G194" s="133"/>
      <c r="H194" s="133"/>
      <c r="I194" s="133"/>
    </row>
    <row r="195" spans="1:9" ht="15" customHeight="1">
      <c r="A195" s="133" t="s">
        <v>265</v>
      </c>
      <c r="B195" s="133"/>
      <c r="C195" s="133"/>
      <c r="D195" s="133"/>
      <c r="E195" s="133"/>
      <c r="F195" s="133"/>
      <c r="G195" s="133"/>
      <c r="H195" s="133"/>
      <c r="I195" s="133"/>
    </row>
    <row r="196" spans="1:9" ht="15" customHeight="1">
      <c r="A196" s="133"/>
      <c r="B196" s="133"/>
      <c r="C196" s="133"/>
      <c r="D196" s="133"/>
      <c r="E196" s="133"/>
      <c r="F196" s="133"/>
      <c r="G196" s="133"/>
      <c r="H196" s="133"/>
      <c r="I196" s="133"/>
    </row>
    <row r="197" spans="2:8" ht="15" customHeight="1">
      <c r="B197" s="174" t="s">
        <v>138</v>
      </c>
      <c r="C197" s="175"/>
      <c r="D197" s="174" t="s">
        <v>247</v>
      </c>
      <c r="E197" s="175"/>
      <c r="F197" s="176"/>
      <c r="G197" s="176"/>
      <c r="H197" s="176"/>
    </row>
    <row r="198" spans="1:8" ht="15" customHeight="1" thickBot="1">
      <c r="A198" s="10" t="s">
        <v>266</v>
      </c>
      <c r="B198" s="115">
        <f>230461735/1936.27</f>
        <v>119023.55301688297</v>
      </c>
      <c r="C198" s="168" t="s">
        <v>12</v>
      </c>
      <c r="D198" s="115">
        <v>149220.1</v>
      </c>
      <c r="E198" s="170" t="s">
        <v>267</v>
      </c>
      <c r="F198" s="173"/>
      <c r="G198" s="173"/>
      <c r="H198" s="172"/>
    </row>
    <row r="199" spans="1:8" ht="15" customHeight="1">
      <c r="A199" s="1" t="s">
        <v>161</v>
      </c>
      <c r="B199" s="116">
        <f>37506049/1936.27</f>
        <v>19370.257763638336</v>
      </c>
      <c r="C199" s="169"/>
      <c r="D199" s="116">
        <v>19549.32</v>
      </c>
      <c r="E199" s="171"/>
      <c r="F199" s="173"/>
      <c r="G199" s="173"/>
      <c r="H199" s="172"/>
    </row>
    <row r="201" spans="1:9" ht="15" customHeight="1">
      <c r="A201" s="133" t="s">
        <v>13</v>
      </c>
      <c r="B201" s="133"/>
      <c r="C201" s="133"/>
      <c r="D201" s="133"/>
      <c r="E201" s="133"/>
      <c r="F201" s="133"/>
      <c r="G201" s="133"/>
      <c r="H201" s="133"/>
      <c r="I201" s="133"/>
    </row>
    <row r="202" spans="1:9" ht="15" customHeight="1">
      <c r="A202" s="133"/>
      <c r="B202" s="133"/>
      <c r="C202" s="133"/>
      <c r="D202" s="133"/>
      <c r="E202" s="133"/>
      <c r="F202" s="133"/>
      <c r="G202" s="133"/>
      <c r="H202" s="133"/>
      <c r="I202" s="133"/>
    </row>
    <row r="203" spans="4:9" s="9" customFormat="1" ht="15" customHeight="1">
      <c r="D203" s="185">
        <v>2001</v>
      </c>
      <c r="E203" s="186"/>
      <c r="F203" s="185">
        <v>2002</v>
      </c>
      <c r="G203" s="178"/>
      <c r="H203" s="187"/>
      <c r="I203" s="187"/>
    </row>
    <row r="204" spans="4:9" s="9" customFormat="1" ht="15" customHeight="1">
      <c r="D204" s="179" t="s">
        <v>135</v>
      </c>
      <c r="E204" s="183"/>
      <c r="F204" s="179" t="s">
        <v>135</v>
      </c>
      <c r="G204" s="180"/>
      <c r="H204" s="188"/>
      <c r="I204" s="188"/>
    </row>
    <row r="205" spans="1:9" ht="15" customHeight="1">
      <c r="A205" s="189" t="s">
        <v>162</v>
      </c>
      <c r="B205" s="190"/>
      <c r="C205" s="191"/>
      <c r="D205" s="181"/>
      <c r="E205" s="184"/>
      <c r="F205" s="181"/>
      <c r="G205" s="182"/>
      <c r="H205" s="188"/>
      <c r="I205" s="188"/>
    </row>
    <row r="206" spans="1:9" ht="15" customHeight="1">
      <c r="A206" s="189" t="s">
        <v>163</v>
      </c>
      <c r="B206" s="190"/>
      <c r="C206" s="191"/>
      <c r="D206" s="185">
        <v>39</v>
      </c>
      <c r="E206" s="186"/>
      <c r="F206" s="196">
        <f>(0.32+5761.13+1496.53)/19549.32*100</f>
        <v>37.12650874813036</v>
      </c>
      <c r="G206" s="197"/>
      <c r="H206" s="187"/>
      <c r="I206" s="187"/>
    </row>
    <row r="207" spans="1:9" ht="15" customHeight="1">
      <c r="A207" s="189" t="s">
        <v>164</v>
      </c>
      <c r="B207" s="190"/>
      <c r="C207" s="191"/>
      <c r="D207" s="185">
        <v>61</v>
      </c>
      <c r="E207" s="186"/>
      <c r="F207" s="198">
        <f>12291.34/19549.32*100</f>
        <v>62.87349125186963</v>
      </c>
      <c r="G207" s="199"/>
      <c r="H207" s="187"/>
      <c r="I207" s="187"/>
    </row>
    <row r="208" spans="1:9" ht="15" customHeight="1">
      <c r="A208" s="193" t="s">
        <v>165</v>
      </c>
      <c r="B208" s="194"/>
      <c r="C208" s="195"/>
      <c r="D208" s="185">
        <v>100</v>
      </c>
      <c r="E208" s="186"/>
      <c r="F208" s="177">
        <f>SUM(F206:G207)</f>
        <v>100</v>
      </c>
      <c r="G208" s="178"/>
      <c r="H208" s="187"/>
      <c r="I208" s="187"/>
    </row>
    <row r="211" spans="1:9" ht="15" customHeight="1">
      <c r="A211" s="156" t="s">
        <v>210</v>
      </c>
      <c r="B211" s="156"/>
      <c r="C211" s="156"/>
      <c r="D211" s="156"/>
      <c r="E211" s="156"/>
      <c r="F211" s="156"/>
      <c r="G211" s="156"/>
      <c r="H211" s="156"/>
      <c r="I211" s="156"/>
    </row>
    <row r="212" spans="1:9" ht="15" customHeight="1">
      <c r="A212" s="133" t="s">
        <v>103</v>
      </c>
      <c r="B212" s="133"/>
      <c r="C212" s="133"/>
      <c r="D212" s="133"/>
      <c r="E212" s="133"/>
      <c r="F212" s="133"/>
      <c r="G212" s="133"/>
      <c r="H212" s="133"/>
      <c r="I212" s="133"/>
    </row>
    <row r="213" spans="1:9" ht="15" customHeight="1">
      <c r="A213" s="133"/>
      <c r="B213" s="133"/>
      <c r="C213" s="133"/>
      <c r="D213" s="133"/>
      <c r="E213" s="133"/>
      <c r="F213" s="133"/>
      <c r="G213" s="133"/>
      <c r="H213" s="133"/>
      <c r="I213" s="133"/>
    </row>
    <row r="214" spans="1:9" ht="15" customHeight="1">
      <c r="A214" s="133" t="s">
        <v>205</v>
      </c>
      <c r="B214" s="133"/>
      <c r="C214" s="133"/>
      <c r="D214" s="133"/>
      <c r="E214" s="133"/>
      <c r="F214" s="133"/>
      <c r="G214" s="133"/>
      <c r="H214" s="133"/>
      <c r="I214" s="133"/>
    </row>
    <row r="215" spans="1:9" ht="15" customHeight="1">
      <c r="A215" s="133"/>
      <c r="B215" s="133"/>
      <c r="C215" s="133"/>
      <c r="D215" s="133"/>
      <c r="E215" s="133"/>
      <c r="F215" s="133"/>
      <c r="G215" s="133"/>
      <c r="H215" s="133"/>
      <c r="I215" s="133"/>
    </row>
    <row r="216" spans="1:9" ht="15" customHeight="1" thickBot="1">
      <c r="A216" s="125" t="s">
        <v>138</v>
      </c>
      <c r="B216" s="143" t="s">
        <v>160</v>
      </c>
      <c r="C216" s="143"/>
      <c r="D216" s="143"/>
      <c r="E216" s="125" t="s">
        <v>15</v>
      </c>
      <c r="F216" s="144">
        <f>230461735/1936.27</f>
        <v>119023.55301688297</v>
      </c>
      <c r="G216" s="144"/>
      <c r="H216" s="128" t="s">
        <v>269</v>
      </c>
      <c r="I216" s="141">
        <f>F216/F217</f>
        <v>26.45555746096532</v>
      </c>
    </row>
    <row r="217" spans="1:9" ht="15" customHeight="1">
      <c r="A217" s="125"/>
      <c r="B217" s="137" t="s">
        <v>196</v>
      </c>
      <c r="C217" s="137"/>
      <c r="D217" s="137"/>
      <c r="E217" s="125"/>
      <c r="F217" s="145">
        <v>4499</v>
      </c>
      <c r="G217" s="145"/>
      <c r="H217" s="128"/>
      <c r="I217" s="141"/>
    </row>
    <row r="218" spans="1:9" s="9" customFormat="1" ht="15" customHeight="1" thickBot="1">
      <c r="A218" s="125" t="s">
        <v>247</v>
      </c>
      <c r="B218" s="143" t="s">
        <v>160</v>
      </c>
      <c r="C218" s="143"/>
      <c r="D218" s="143"/>
      <c r="E218" s="125" t="s">
        <v>15</v>
      </c>
      <c r="F218" s="144">
        <v>149220.1</v>
      </c>
      <c r="G218" s="144"/>
      <c r="H218" s="128" t="s">
        <v>263</v>
      </c>
      <c r="I218" s="141">
        <f>F218/F219</f>
        <v>21.375175476292796</v>
      </c>
    </row>
    <row r="219" spans="1:10" s="9" customFormat="1" ht="15" customHeight="1">
      <c r="A219" s="125"/>
      <c r="B219" s="137" t="s">
        <v>196</v>
      </c>
      <c r="C219" s="137"/>
      <c r="D219" s="137"/>
      <c r="E219" s="125"/>
      <c r="F219" s="145">
        <f>F24+F26</f>
        <v>6981</v>
      </c>
      <c r="G219" s="145"/>
      <c r="H219" s="128"/>
      <c r="I219" s="141"/>
      <c r="J219" s="9" t="s">
        <v>270</v>
      </c>
    </row>
    <row r="220" spans="1:9" s="9" customFormat="1" ht="15" customHeight="1">
      <c r="A220" s="133" t="s">
        <v>211</v>
      </c>
      <c r="B220" s="133"/>
      <c r="C220" s="133"/>
      <c r="D220" s="133"/>
      <c r="E220" s="133"/>
      <c r="F220" s="133"/>
      <c r="G220" s="133"/>
      <c r="H220" s="133"/>
      <c r="I220" s="133"/>
    </row>
    <row r="221" spans="1:9" s="9" customFormat="1" ht="15" customHeight="1">
      <c r="A221" s="133"/>
      <c r="B221" s="133"/>
      <c r="C221" s="133"/>
      <c r="D221" s="133"/>
      <c r="E221" s="133"/>
      <c r="F221" s="133"/>
      <c r="G221" s="133"/>
      <c r="H221" s="133"/>
      <c r="I221" s="133"/>
    </row>
    <row r="222" spans="1:9" ht="15" customHeight="1">
      <c r="A222" s="133"/>
      <c r="B222" s="133"/>
      <c r="C222" s="133"/>
      <c r="D222" s="133"/>
      <c r="E222" s="133"/>
      <c r="F222" s="133"/>
      <c r="G222" s="133"/>
      <c r="H222" s="133"/>
      <c r="I222" s="133"/>
    </row>
    <row r="223" spans="1:9" ht="15" customHeight="1" thickBot="1">
      <c r="A223" s="125" t="s">
        <v>138</v>
      </c>
      <c r="B223" s="143" t="s">
        <v>160</v>
      </c>
      <c r="C223" s="143"/>
      <c r="D223" s="143"/>
      <c r="E223" s="125" t="s">
        <v>15</v>
      </c>
      <c r="F223" s="144">
        <f>230461735/1936.27</f>
        <v>119023.55301688297</v>
      </c>
      <c r="G223" s="144"/>
      <c r="H223" s="128" t="s">
        <v>268</v>
      </c>
      <c r="I223" s="141">
        <f>F223/F224</f>
        <v>13.942081880857792</v>
      </c>
    </row>
    <row r="224" spans="1:9" ht="15" customHeight="1">
      <c r="A224" s="125"/>
      <c r="B224" s="137" t="s">
        <v>197</v>
      </c>
      <c r="C224" s="137"/>
      <c r="D224" s="137"/>
      <c r="E224" s="125"/>
      <c r="F224" s="145">
        <v>8537</v>
      </c>
      <c r="G224" s="145"/>
      <c r="H224" s="128"/>
      <c r="I224" s="141"/>
    </row>
    <row r="225" spans="1:9" s="9" customFormat="1" ht="15" customHeight="1" thickBot="1">
      <c r="A225" s="125" t="s">
        <v>247</v>
      </c>
      <c r="B225" s="143" t="s">
        <v>160</v>
      </c>
      <c r="C225" s="143"/>
      <c r="D225" s="143"/>
      <c r="E225" s="125" t="s">
        <v>15</v>
      </c>
      <c r="F225" s="144">
        <v>149220.1</v>
      </c>
      <c r="G225" s="144"/>
      <c r="H225" s="128" t="s">
        <v>264</v>
      </c>
      <c r="I225" s="141">
        <f>F225/F226</f>
        <v>13.96799588130675</v>
      </c>
    </row>
    <row r="226" spans="1:10" s="9" customFormat="1" ht="15" customHeight="1">
      <c r="A226" s="125"/>
      <c r="B226" s="137" t="s">
        <v>197</v>
      </c>
      <c r="C226" s="137"/>
      <c r="D226" s="137"/>
      <c r="E226" s="125"/>
      <c r="F226" s="145">
        <f>F29</f>
        <v>10683</v>
      </c>
      <c r="G226" s="145"/>
      <c r="H226" s="128"/>
      <c r="I226" s="141"/>
      <c r="J226" s="9" t="s">
        <v>270</v>
      </c>
    </row>
    <row r="227" spans="1:9" ht="15" customHeight="1">
      <c r="A227" s="133" t="s">
        <v>206</v>
      </c>
      <c r="B227" s="133"/>
      <c r="C227" s="133"/>
      <c r="D227" s="133"/>
      <c r="E227" s="133"/>
      <c r="F227" s="133"/>
      <c r="G227" s="133"/>
      <c r="H227" s="133"/>
      <c r="I227" s="133"/>
    </row>
    <row r="228" spans="1:9" ht="15" customHeight="1">
      <c r="A228" s="133"/>
      <c r="B228" s="133"/>
      <c r="C228" s="133"/>
      <c r="D228" s="133"/>
      <c r="E228" s="133"/>
      <c r="F228" s="133"/>
      <c r="G228" s="133"/>
      <c r="H228" s="133"/>
      <c r="I228" s="133"/>
    </row>
    <row r="229" spans="1:9" ht="15" customHeight="1">
      <c r="A229" s="133"/>
      <c r="B229" s="133"/>
      <c r="C229" s="133"/>
      <c r="D229" s="133"/>
      <c r="E229" s="133"/>
      <c r="F229" s="133"/>
      <c r="G229" s="133"/>
      <c r="H229" s="133"/>
      <c r="I229" s="133"/>
    </row>
    <row r="230" spans="1:9" ht="15" customHeight="1">
      <c r="A230" s="133" t="s">
        <v>207</v>
      </c>
      <c r="B230" s="133"/>
      <c r="C230" s="133"/>
      <c r="D230" s="133"/>
      <c r="E230" s="133"/>
      <c r="F230" s="133"/>
      <c r="G230" s="133"/>
      <c r="H230" s="133"/>
      <c r="I230" s="133"/>
    </row>
    <row r="231" spans="1:9" ht="15" customHeight="1">
      <c r="A231" s="133"/>
      <c r="B231" s="133"/>
      <c r="C231" s="133"/>
      <c r="D231" s="133"/>
      <c r="E231" s="133"/>
      <c r="F231" s="133"/>
      <c r="G231" s="133"/>
      <c r="H231" s="133"/>
      <c r="I231" s="133"/>
    </row>
    <row r="232" spans="1:9" ht="15" customHeight="1">
      <c r="A232" s="133"/>
      <c r="B232" s="133"/>
      <c r="C232" s="133"/>
      <c r="D232" s="133"/>
      <c r="E232" s="133"/>
      <c r="F232" s="133"/>
      <c r="G232" s="133"/>
      <c r="H232" s="133"/>
      <c r="I232" s="133"/>
    </row>
    <row r="233" spans="1:9" ht="15" customHeight="1">
      <c r="A233" s="133"/>
      <c r="B233" s="133"/>
      <c r="C233" s="133"/>
      <c r="D233" s="133"/>
      <c r="E233" s="133"/>
      <c r="F233" s="133"/>
      <c r="G233" s="133"/>
      <c r="H233" s="133"/>
      <c r="I233" s="133"/>
    </row>
    <row r="234" spans="1:8" ht="15" customHeight="1">
      <c r="A234" s="125" t="s">
        <v>138</v>
      </c>
      <c r="B234" s="125" t="s">
        <v>16</v>
      </c>
      <c r="C234" s="125"/>
      <c r="D234" s="128">
        <v>72</v>
      </c>
      <c r="E234" s="125" t="s">
        <v>17</v>
      </c>
      <c r="F234" s="125"/>
      <c r="G234" s="125">
        <v>2180</v>
      </c>
      <c r="H234" s="125"/>
    </row>
    <row r="235" spans="1:8" ht="15" customHeight="1">
      <c r="A235" s="125"/>
      <c r="B235" s="125"/>
      <c r="C235" s="125"/>
      <c r="D235" s="128"/>
      <c r="E235" s="125"/>
      <c r="F235" s="125"/>
      <c r="G235" s="125"/>
      <c r="H235" s="125"/>
    </row>
    <row r="236" spans="1:8" ht="15" customHeight="1">
      <c r="A236" s="125" t="s">
        <v>247</v>
      </c>
      <c r="B236" s="125" t="s">
        <v>16</v>
      </c>
      <c r="C236" s="125"/>
      <c r="D236" s="128" t="s">
        <v>280</v>
      </c>
      <c r="E236" s="125" t="s">
        <v>17</v>
      </c>
      <c r="F236" s="125"/>
      <c r="G236" s="125">
        <v>2150</v>
      </c>
      <c r="H236" s="125"/>
    </row>
    <row r="237" spans="1:8" ht="15" customHeight="1">
      <c r="A237" s="125"/>
      <c r="B237" s="125"/>
      <c r="C237" s="125"/>
      <c r="D237" s="128"/>
      <c r="E237" s="125"/>
      <c r="F237" s="125"/>
      <c r="G237" s="125"/>
      <c r="H237" s="125"/>
    </row>
    <row r="238" spans="1:12" ht="15" customHeight="1">
      <c r="A238" s="133" t="s">
        <v>212</v>
      </c>
      <c r="B238" s="133"/>
      <c r="C238" s="133"/>
      <c r="D238" s="133"/>
      <c r="E238" s="133"/>
      <c r="F238" s="133"/>
      <c r="G238" s="133"/>
      <c r="H238" s="133"/>
      <c r="I238" s="133"/>
      <c r="L238" s="36"/>
    </row>
    <row r="239" spans="1:9" ht="15" customHeight="1">
      <c r="A239" s="133"/>
      <c r="B239" s="133"/>
      <c r="C239" s="133"/>
      <c r="D239" s="133"/>
      <c r="E239" s="133"/>
      <c r="F239" s="133"/>
      <c r="G239" s="133"/>
      <c r="H239" s="133"/>
      <c r="I239" s="133"/>
    </row>
    <row r="240" spans="1:9" ht="15" customHeight="1">
      <c r="A240" s="133"/>
      <c r="B240" s="133"/>
      <c r="C240" s="133"/>
      <c r="D240" s="133"/>
      <c r="E240" s="133"/>
      <c r="F240" s="133"/>
      <c r="G240" s="133"/>
      <c r="H240" s="133"/>
      <c r="I240" s="133"/>
    </row>
    <row r="241" spans="1:9" ht="15" customHeight="1">
      <c r="A241" s="133"/>
      <c r="B241" s="133"/>
      <c r="C241" s="133"/>
      <c r="D241" s="133"/>
      <c r="E241" s="133"/>
      <c r="F241" s="133"/>
      <c r="G241" s="133"/>
      <c r="H241" s="133"/>
      <c r="I241" s="133"/>
    </row>
    <row r="242" spans="1:9" ht="15" customHeight="1">
      <c r="A242" s="2"/>
      <c r="B242" s="2"/>
      <c r="C242" s="2"/>
      <c r="D242" s="2"/>
      <c r="E242" s="2"/>
      <c r="F242" s="2"/>
      <c r="G242" s="2"/>
      <c r="H242" s="2"/>
      <c r="I242" s="2"/>
    </row>
    <row r="243" spans="1:11" ht="15" customHeight="1">
      <c r="A243" s="125" t="s">
        <v>138</v>
      </c>
      <c r="B243" s="133" t="s">
        <v>18</v>
      </c>
      <c r="C243" s="128">
        <v>1648</v>
      </c>
      <c r="D243" s="133" t="s">
        <v>244</v>
      </c>
      <c r="E243" s="128" t="s">
        <v>19</v>
      </c>
      <c r="F243" s="128" t="s">
        <v>20</v>
      </c>
      <c r="G243" s="128"/>
      <c r="H243" s="128" t="s">
        <v>15</v>
      </c>
      <c r="I243" s="129">
        <f>E243/C243</f>
        <v>0.8913834951456311</v>
      </c>
      <c r="K243" s="36"/>
    </row>
    <row r="244" spans="1:9" ht="15" customHeight="1">
      <c r="A244" s="125"/>
      <c r="B244" s="133"/>
      <c r="C244" s="128"/>
      <c r="D244" s="133"/>
      <c r="E244" s="128"/>
      <c r="F244" s="128"/>
      <c r="G244" s="128"/>
      <c r="H244" s="128"/>
      <c r="I244" s="129"/>
    </row>
    <row r="245" spans="1:11" ht="15" customHeight="1">
      <c r="A245" s="125" t="s">
        <v>247</v>
      </c>
      <c r="B245" s="133" t="s">
        <v>18</v>
      </c>
      <c r="C245" s="128" t="s">
        <v>273</v>
      </c>
      <c r="D245" s="133" t="s">
        <v>244</v>
      </c>
      <c r="E245" s="128" t="s">
        <v>272</v>
      </c>
      <c r="F245" s="128" t="s">
        <v>20</v>
      </c>
      <c r="G245" s="128"/>
      <c r="H245" s="128" t="s">
        <v>15</v>
      </c>
      <c r="I245" s="129">
        <f>E245/C245</f>
        <v>0.8532796317606444</v>
      </c>
      <c r="K245" s="36"/>
    </row>
    <row r="246" spans="1:9" ht="15" customHeight="1">
      <c r="A246" s="125"/>
      <c r="B246" s="133"/>
      <c r="C246" s="128"/>
      <c r="D246" s="133"/>
      <c r="E246" s="128"/>
      <c r="F246" s="128"/>
      <c r="G246" s="128"/>
      <c r="H246" s="128"/>
      <c r="I246" s="129"/>
    </row>
    <row r="247" spans="1:9" ht="15">
      <c r="A247" s="133" t="s">
        <v>277</v>
      </c>
      <c r="B247" s="133"/>
      <c r="C247" s="133"/>
      <c r="D247" s="133"/>
      <c r="E247" s="133"/>
      <c r="F247" s="133"/>
      <c r="G247" s="133"/>
      <c r="H247" s="133"/>
      <c r="I247" s="133"/>
    </row>
    <row r="248" spans="1:9" ht="15" customHeight="1">
      <c r="A248" s="133"/>
      <c r="B248" s="133"/>
      <c r="C248" s="133"/>
      <c r="D248" s="133"/>
      <c r="E248" s="133"/>
      <c r="F248" s="133"/>
      <c r="G248" s="133"/>
      <c r="H248" s="133"/>
      <c r="I248" s="133"/>
    </row>
    <row r="249" spans="1:9" ht="15" customHeight="1">
      <c r="A249" s="133"/>
      <c r="B249" s="133"/>
      <c r="C249" s="133"/>
      <c r="D249" s="133"/>
      <c r="E249" s="133"/>
      <c r="F249" s="133"/>
      <c r="G249" s="133"/>
      <c r="H249" s="133"/>
      <c r="I249" s="133"/>
    </row>
    <row r="250" spans="1:9" ht="15" customHeight="1">
      <c r="A250" s="133"/>
      <c r="B250" s="133"/>
      <c r="C250" s="133"/>
      <c r="D250" s="133"/>
      <c r="E250" s="133"/>
      <c r="F250" s="133"/>
      <c r="G250" s="133"/>
      <c r="H250" s="133"/>
      <c r="I250" s="133"/>
    </row>
    <row r="251" spans="1:9" ht="15" customHeight="1">
      <c r="A251" s="133"/>
      <c r="B251" s="133"/>
      <c r="C251" s="133"/>
      <c r="D251" s="133"/>
      <c r="E251" s="133"/>
      <c r="F251" s="133"/>
      <c r="G251" s="133"/>
      <c r="H251" s="133"/>
      <c r="I251" s="133"/>
    </row>
    <row r="252" spans="1:9" ht="15" customHeight="1" thickBot="1">
      <c r="A252" s="125" t="s">
        <v>199</v>
      </c>
      <c r="B252" s="142" t="s">
        <v>198</v>
      </c>
      <c r="C252" s="127" t="s">
        <v>0</v>
      </c>
      <c r="D252" s="127"/>
      <c r="E252" s="128" t="s">
        <v>15</v>
      </c>
      <c r="F252" s="50">
        <v>5045</v>
      </c>
      <c r="G252" s="128" t="s">
        <v>15</v>
      </c>
      <c r="H252" s="128" t="s">
        <v>246</v>
      </c>
      <c r="I252" s="128"/>
    </row>
    <row r="253" spans="1:9" ht="15" customHeight="1">
      <c r="A253" s="125"/>
      <c r="B253" s="142"/>
      <c r="C253" s="128" t="s">
        <v>14</v>
      </c>
      <c r="D253" s="128"/>
      <c r="E253" s="128"/>
      <c r="F253" s="49">
        <v>9</v>
      </c>
      <c r="G253" s="128"/>
      <c r="H253" s="128"/>
      <c r="I253" s="128"/>
    </row>
    <row r="254" spans="1:9" ht="15" customHeight="1" thickBot="1">
      <c r="A254" s="125" t="s">
        <v>248</v>
      </c>
      <c r="B254" s="142" t="s">
        <v>198</v>
      </c>
      <c r="C254" s="127" t="s">
        <v>0</v>
      </c>
      <c r="D254" s="127"/>
      <c r="E254" s="128" t="s">
        <v>15</v>
      </c>
      <c r="F254" s="50">
        <v>3188</v>
      </c>
      <c r="G254" s="128" t="s">
        <v>15</v>
      </c>
      <c r="H254" s="192">
        <f>F254/F255</f>
        <v>318.8</v>
      </c>
      <c r="I254" s="128"/>
    </row>
    <row r="255" spans="1:9" ht="15" customHeight="1">
      <c r="A255" s="125"/>
      <c r="B255" s="142"/>
      <c r="C255" s="128" t="s">
        <v>14</v>
      </c>
      <c r="D255" s="128"/>
      <c r="E255" s="128"/>
      <c r="F255" s="49">
        <v>10</v>
      </c>
      <c r="G255" s="128"/>
      <c r="H255" s="192"/>
      <c r="I255" s="128"/>
    </row>
    <row r="257" spans="1:9" ht="15" customHeight="1" thickBot="1">
      <c r="A257" s="125" t="s">
        <v>199</v>
      </c>
      <c r="B257" s="126" t="s">
        <v>1</v>
      </c>
      <c r="C257" s="127" t="s">
        <v>0</v>
      </c>
      <c r="D257" s="127"/>
      <c r="E257" s="128" t="s">
        <v>15</v>
      </c>
      <c r="F257" s="50">
        <v>1226</v>
      </c>
      <c r="G257" s="128" t="s">
        <v>15</v>
      </c>
      <c r="H257" s="128" t="s">
        <v>2</v>
      </c>
      <c r="I257" s="128"/>
    </row>
    <row r="258" spans="1:9" ht="15" customHeight="1">
      <c r="A258" s="125"/>
      <c r="B258" s="126"/>
      <c r="C258" s="128" t="s">
        <v>14</v>
      </c>
      <c r="D258" s="128"/>
      <c r="E258" s="128"/>
      <c r="F258" s="49">
        <v>37</v>
      </c>
      <c r="G258" s="128"/>
      <c r="H258" s="128"/>
      <c r="I258" s="128"/>
    </row>
    <row r="259" spans="1:9" ht="15" customHeight="1" thickBot="1">
      <c r="A259" s="125" t="s">
        <v>248</v>
      </c>
      <c r="B259" s="126" t="s">
        <v>1</v>
      </c>
      <c r="C259" s="127" t="s">
        <v>0</v>
      </c>
      <c r="D259" s="127"/>
      <c r="E259" s="128" t="s">
        <v>15</v>
      </c>
      <c r="F259" s="50">
        <v>763</v>
      </c>
      <c r="G259" s="128" t="s">
        <v>15</v>
      </c>
      <c r="H259" s="141">
        <f>F259/F260</f>
        <v>22.441176470588236</v>
      </c>
      <c r="I259" s="128"/>
    </row>
    <row r="260" spans="1:9" ht="15" customHeight="1">
      <c r="A260" s="125"/>
      <c r="B260" s="126"/>
      <c r="C260" s="128" t="s">
        <v>14</v>
      </c>
      <c r="D260" s="128"/>
      <c r="E260" s="128"/>
      <c r="F260" s="49">
        <v>34</v>
      </c>
      <c r="G260" s="128"/>
      <c r="H260" s="141"/>
      <c r="I260" s="128"/>
    </row>
    <row r="262" spans="1:9" ht="15" customHeight="1" thickBot="1">
      <c r="A262" s="125" t="s">
        <v>199</v>
      </c>
      <c r="B262" s="126" t="s">
        <v>3</v>
      </c>
      <c r="C262" s="127" t="s">
        <v>0</v>
      </c>
      <c r="D262" s="127"/>
      <c r="E262" s="128" t="s">
        <v>15</v>
      </c>
      <c r="F262" s="50">
        <v>1112</v>
      </c>
      <c r="G262" s="128" t="s">
        <v>15</v>
      </c>
      <c r="H262" s="128" t="s">
        <v>4</v>
      </c>
      <c r="I262" s="128"/>
    </row>
    <row r="263" spans="1:9" ht="15" customHeight="1">
      <c r="A263" s="125"/>
      <c r="B263" s="126"/>
      <c r="C263" s="128" t="s">
        <v>14</v>
      </c>
      <c r="D263" s="128"/>
      <c r="E263" s="128"/>
      <c r="F263" s="49">
        <v>17</v>
      </c>
      <c r="G263" s="128"/>
      <c r="H263" s="128"/>
      <c r="I263" s="128"/>
    </row>
    <row r="264" spans="1:9" ht="15" customHeight="1" thickBot="1">
      <c r="A264" s="125" t="s">
        <v>248</v>
      </c>
      <c r="B264" s="126" t="s">
        <v>3</v>
      </c>
      <c r="C264" s="127" t="s">
        <v>0</v>
      </c>
      <c r="D264" s="127"/>
      <c r="E264" s="128" t="s">
        <v>15</v>
      </c>
      <c r="F264" s="50">
        <v>484</v>
      </c>
      <c r="G264" s="128" t="s">
        <v>15</v>
      </c>
      <c r="H264" s="192">
        <f>F264/F265</f>
        <v>30.25</v>
      </c>
      <c r="I264" s="128"/>
    </row>
    <row r="265" spans="1:9" ht="15" customHeight="1">
      <c r="A265" s="125"/>
      <c r="B265" s="126"/>
      <c r="C265" s="128" t="s">
        <v>14</v>
      </c>
      <c r="D265" s="128"/>
      <c r="E265" s="128"/>
      <c r="F265" s="49">
        <v>16</v>
      </c>
      <c r="G265" s="128"/>
      <c r="H265" s="192"/>
      <c r="I265" s="128"/>
    </row>
    <row r="266" spans="1:9" ht="15" customHeight="1">
      <c r="A266" s="119"/>
      <c r="B266" s="120"/>
      <c r="C266" s="118"/>
      <c r="D266" s="118"/>
      <c r="E266" s="118"/>
      <c r="F266" s="49"/>
      <c r="G266" s="118"/>
      <c r="H266" s="121"/>
      <c r="I266" s="118"/>
    </row>
    <row r="267" spans="1:9" ht="15">
      <c r="A267" s="133" t="s">
        <v>208</v>
      </c>
      <c r="B267" s="133"/>
      <c r="C267" s="133"/>
      <c r="D267" s="133"/>
      <c r="E267" s="133"/>
      <c r="F267" s="133"/>
      <c r="G267" s="133"/>
      <c r="H267" s="133"/>
      <c r="I267" s="133"/>
    </row>
    <row r="268" spans="1:9" ht="15" customHeight="1">
      <c r="A268" s="133"/>
      <c r="B268" s="133"/>
      <c r="C268" s="133"/>
      <c r="D268" s="133"/>
      <c r="E268" s="133"/>
      <c r="F268" s="133"/>
      <c r="G268" s="133"/>
      <c r="H268" s="133"/>
      <c r="I268" s="133"/>
    </row>
    <row r="269" spans="1:9" ht="15" customHeight="1" thickBot="1">
      <c r="A269" s="125" t="s">
        <v>199</v>
      </c>
      <c r="B269" s="126" t="s">
        <v>5</v>
      </c>
      <c r="C269" s="127" t="s">
        <v>0</v>
      </c>
      <c r="D269" s="127"/>
      <c r="E269" s="128" t="s">
        <v>15</v>
      </c>
      <c r="F269" s="50">
        <v>1154</v>
      </c>
      <c r="G269" s="128" t="s">
        <v>15</v>
      </c>
      <c r="H269" s="128" t="s">
        <v>7</v>
      </c>
      <c r="I269" s="128"/>
    </row>
    <row r="270" spans="1:9" ht="15" customHeight="1">
      <c r="A270" s="125"/>
      <c r="B270" s="126"/>
      <c r="C270" s="128" t="s">
        <v>6</v>
      </c>
      <c r="D270" s="128"/>
      <c r="E270" s="128"/>
      <c r="F270" s="49">
        <v>853</v>
      </c>
      <c r="G270" s="128"/>
      <c r="H270" s="128"/>
      <c r="I270" s="128"/>
    </row>
    <row r="271" spans="1:9" ht="15" customHeight="1" thickBot="1">
      <c r="A271" s="125" t="s">
        <v>248</v>
      </c>
      <c r="B271" s="126" t="s">
        <v>5</v>
      </c>
      <c r="C271" s="127" t="s">
        <v>0</v>
      </c>
      <c r="D271" s="127"/>
      <c r="E271" s="128" t="s">
        <v>15</v>
      </c>
      <c r="F271" s="50">
        <v>1609.5</v>
      </c>
      <c r="G271" s="128" t="s">
        <v>15</v>
      </c>
      <c r="H271" s="141">
        <f>F271/F272</f>
        <v>0.8718851570964247</v>
      </c>
      <c r="I271" s="128"/>
    </row>
    <row r="272" spans="1:9" ht="15" customHeight="1" thickBot="1">
      <c r="A272" s="125"/>
      <c r="B272" s="126"/>
      <c r="C272" s="128" t="s">
        <v>6</v>
      </c>
      <c r="D272" s="128"/>
      <c r="E272" s="128"/>
      <c r="F272" s="50">
        <v>1846</v>
      </c>
      <c r="G272" s="128"/>
      <c r="H272" s="141"/>
      <c r="I272" s="128"/>
    </row>
    <row r="273" spans="1:9" ht="15">
      <c r="A273" s="133" t="s">
        <v>209</v>
      </c>
      <c r="B273" s="133"/>
      <c r="C273" s="133"/>
      <c r="D273" s="133"/>
      <c r="E273" s="133"/>
      <c r="F273" s="133"/>
      <c r="G273" s="133"/>
      <c r="H273" s="133"/>
      <c r="I273" s="133"/>
    </row>
    <row r="274" spans="1:9" ht="15">
      <c r="A274" s="133"/>
      <c r="B274" s="133"/>
      <c r="C274" s="133"/>
      <c r="D274" s="133"/>
      <c r="E274" s="133"/>
      <c r="F274" s="133"/>
      <c r="G274" s="133"/>
      <c r="H274" s="133"/>
      <c r="I274" s="133"/>
    </row>
    <row r="275" spans="1:9" ht="15" customHeight="1">
      <c r="A275" s="133"/>
      <c r="B275" s="133"/>
      <c r="C275" s="133"/>
      <c r="D275" s="133"/>
      <c r="E275" s="133"/>
      <c r="F275" s="133"/>
      <c r="G275" s="133"/>
      <c r="H275" s="133"/>
      <c r="I275" s="133"/>
    </row>
    <row r="276" spans="1:9" ht="15" customHeight="1" thickBot="1">
      <c r="A276" s="125" t="s">
        <v>199</v>
      </c>
      <c r="B276" s="142" t="s">
        <v>198</v>
      </c>
      <c r="C276" s="127" t="s">
        <v>0</v>
      </c>
      <c r="D276" s="127"/>
      <c r="E276" s="128" t="s">
        <v>15</v>
      </c>
      <c r="F276" s="50">
        <v>5167</v>
      </c>
      <c r="G276" s="128" t="s">
        <v>15</v>
      </c>
      <c r="H276" s="128" t="s">
        <v>8</v>
      </c>
      <c r="I276" s="128"/>
    </row>
    <row r="277" spans="1:9" ht="15" customHeight="1">
      <c r="A277" s="125"/>
      <c r="B277" s="142"/>
      <c r="C277" s="128" t="s">
        <v>18</v>
      </c>
      <c r="D277" s="128"/>
      <c r="E277" s="128"/>
      <c r="F277" s="51">
        <v>1648</v>
      </c>
      <c r="G277" s="128"/>
      <c r="H277" s="128"/>
      <c r="I277" s="128"/>
    </row>
    <row r="278" spans="1:9" ht="15" customHeight="1" thickBot="1">
      <c r="A278" s="125" t="s">
        <v>248</v>
      </c>
      <c r="B278" s="142" t="s">
        <v>198</v>
      </c>
      <c r="C278" s="127" t="s">
        <v>0</v>
      </c>
      <c r="D278" s="127"/>
      <c r="E278" s="128" t="s">
        <v>15</v>
      </c>
      <c r="F278" s="50">
        <v>3188</v>
      </c>
      <c r="G278" s="128" t="s">
        <v>15</v>
      </c>
      <c r="H278" s="141">
        <f>F278/F279</f>
        <v>1.8342922899884926</v>
      </c>
      <c r="I278" s="128"/>
    </row>
    <row r="279" spans="1:9" ht="15" customHeight="1">
      <c r="A279" s="125"/>
      <c r="B279" s="142"/>
      <c r="C279" s="128" t="s">
        <v>18</v>
      </c>
      <c r="D279" s="128"/>
      <c r="E279" s="128"/>
      <c r="F279" s="51" t="str">
        <f>C245</f>
        <v>1738</v>
      </c>
      <c r="G279" s="128"/>
      <c r="H279" s="141"/>
      <c r="I279" s="128"/>
    </row>
  </sheetData>
  <mergeCells count="226">
    <mergeCell ref="A216:A217"/>
    <mergeCell ref="B216:D216"/>
    <mergeCell ref="E216:E217"/>
    <mergeCell ref="F216:G216"/>
    <mergeCell ref="B223:D223"/>
    <mergeCell ref="F218:G218"/>
    <mergeCell ref="F206:G206"/>
    <mergeCell ref="H216:H217"/>
    <mergeCell ref="H206:I206"/>
    <mergeCell ref="H207:I207"/>
    <mergeCell ref="H208:I208"/>
    <mergeCell ref="D207:E207"/>
    <mergeCell ref="D208:E208"/>
    <mergeCell ref="F207:G207"/>
    <mergeCell ref="B276:B277"/>
    <mergeCell ref="D206:E206"/>
    <mergeCell ref="E223:E224"/>
    <mergeCell ref="F223:G223"/>
    <mergeCell ref="B224:D224"/>
    <mergeCell ref="F224:G224"/>
    <mergeCell ref="A206:C206"/>
    <mergeCell ref="A207:C207"/>
    <mergeCell ref="A208:C208"/>
    <mergeCell ref="A223:A224"/>
    <mergeCell ref="I225:I226"/>
    <mergeCell ref="A230:I233"/>
    <mergeCell ref="A227:I229"/>
    <mergeCell ref="G234:H235"/>
    <mergeCell ref="H225:H226"/>
    <mergeCell ref="C276:D276"/>
    <mergeCell ref="E276:E277"/>
    <mergeCell ref="G269:G270"/>
    <mergeCell ref="H269:H270"/>
    <mergeCell ref="A273:I275"/>
    <mergeCell ref="C277:D277"/>
    <mergeCell ref="G276:G277"/>
    <mergeCell ref="H276:H277"/>
    <mergeCell ref="I276:I277"/>
    <mergeCell ref="A276:A277"/>
    <mergeCell ref="D245:D246"/>
    <mergeCell ref="B269:B270"/>
    <mergeCell ref="C269:D269"/>
    <mergeCell ref="E269:E270"/>
    <mergeCell ref="C265:D265"/>
    <mergeCell ref="B264:B265"/>
    <mergeCell ref="C264:D264"/>
    <mergeCell ref="E264:E265"/>
    <mergeCell ref="C254:D254"/>
    <mergeCell ref="E254:E255"/>
    <mergeCell ref="I269:I270"/>
    <mergeCell ref="C270:D270"/>
    <mergeCell ref="G264:G265"/>
    <mergeCell ref="H264:H265"/>
    <mergeCell ref="I264:I265"/>
    <mergeCell ref="G259:G260"/>
    <mergeCell ref="H259:H260"/>
    <mergeCell ref="A254:A255"/>
    <mergeCell ref="I259:I260"/>
    <mergeCell ref="C260:D260"/>
    <mergeCell ref="A259:A260"/>
    <mergeCell ref="B259:B260"/>
    <mergeCell ref="C259:D259"/>
    <mergeCell ref="E259:E260"/>
    <mergeCell ref="B254:B255"/>
    <mergeCell ref="G254:G255"/>
    <mergeCell ref="H254:H255"/>
    <mergeCell ref="G252:G253"/>
    <mergeCell ref="H252:H253"/>
    <mergeCell ref="C255:D255"/>
    <mergeCell ref="A252:A253"/>
    <mergeCell ref="B252:B253"/>
    <mergeCell ref="E252:E253"/>
    <mergeCell ref="C253:D253"/>
    <mergeCell ref="C252:D252"/>
    <mergeCell ref="E243:E244"/>
    <mergeCell ref="H243:H244"/>
    <mergeCell ref="F243:G244"/>
    <mergeCell ref="A247:I251"/>
    <mergeCell ref="E245:E246"/>
    <mergeCell ref="F245:G246"/>
    <mergeCell ref="H245:H246"/>
    <mergeCell ref="A245:A246"/>
    <mergeCell ref="B245:B246"/>
    <mergeCell ref="C245:C246"/>
    <mergeCell ref="A243:A244"/>
    <mergeCell ref="D243:D244"/>
    <mergeCell ref="B243:B244"/>
    <mergeCell ref="C243:C244"/>
    <mergeCell ref="A238:I241"/>
    <mergeCell ref="A234:A235"/>
    <mergeCell ref="B234:C235"/>
    <mergeCell ref="D234:D235"/>
    <mergeCell ref="E234:F235"/>
    <mergeCell ref="E236:F237"/>
    <mergeCell ref="G236:H237"/>
    <mergeCell ref="D236:D237"/>
    <mergeCell ref="A218:A219"/>
    <mergeCell ref="A211:I211"/>
    <mergeCell ref="A212:I213"/>
    <mergeCell ref="A214:I215"/>
    <mergeCell ref="H218:H219"/>
    <mergeCell ref="I216:I217"/>
    <mergeCell ref="I218:I219"/>
    <mergeCell ref="B217:D217"/>
    <mergeCell ref="F217:G217"/>
    <mergeCell ref="F219:G219"/>
    <mergeCell ref="F208:G208"/>
    <mergeCell ref="F204:G205"/>
    <mergeCell ref="D204:E205"/>
    <mergeCell ref="A201:I202"/>
    <mergeCell ref="D203:E203"/>
    <mergeCell ref="F203:G203"/>
    <mergeCell ref="H203:I203"/>
    <mergeCell ref="H204:I205"/>
    <mergeCell ref="A205:C205"/>
    <mergeCell ref="H198:H199"/>
    <mergeCell ref="F198:G198"/>
    <mergeCell ref="F199:G199"/>
    <mergeCell ref="B197:C197"/>
    <mergeCell ref="D197:E197"/>
    <mergeCell ref="F197:H197"/>
    <mergeCell ref="A192:I192"/>
    <mergeCell ref="A236:A237"/>
    <mergeCell ref="B236:C237"/>
    <mergeCell ref="B218:D218"/>
    <mergeCell ref="B219:D219"/>
    <mergeCell ref="E218:E219"/>
    <mergeCell ref="A193:I194"/>
    <mergeCell ref="A195:I196"/>
    <mergeCell ref="C198:C199"/>
    <mergeCell ref="E198:E199"/>
    <mergeCell ref="A185:I185"/>
    <mergeCell ref="A184:B184"/>
    <mergeCell ref="B186:C187"/>
    <mergeCell ref="D186:E187"/>
    <mergeCell ref="F186:G187"/>
    <mergeCell ref="H186:I187"/>
    <mergeCell ref="B177:C178"/>
    <mergeCell ref="D177:E178"/>
    <mergeCell ref="F177:G178"/>
    <mergeCell ref="H177:I178"/>
    <mergeCell ref="A166:I166"/>
    <mergeCell ref="A167:I169"/>
    <mergeCell ref="A170:I171"/>
    <mergeCell ref="A172:I175"/>
    <mergeCell ref="A150:C150"/>
    <mergeCell ref="D144:E144"/>
    <mergeCell ref="F144:G144"/>
    <mergeCell ref="H144:I144"/>
    <mergeCell ref="A145:C145"/>
    <mergeCell ref="A7:I13"/>
    <mergeCell ref="A77:C77"/>
    <mergeCell ref="D22:E22"/>
    <mergeCell ref="A17:B17"/>
    <mergeCell ref="A74:C74"/>
    <mergeCell ref="F22:G22"/>
    <mergeCell ref="D73:E73"/>
    <mergeCell ref="A14:I16"/>
    <mergeCell ref="A70:I70"/>
    <mergeCell ref="A18:I21"/>
    <mergeCell ref="A71:I72"/>
    <mergeCell ref="A29:C29"/>
    <mergeCell ref="H22:I22"/>
    <mergeCell ref="A23:C23"/>
    <mergeCell ref="A27:B27"/>
    <mergeCell ref="F73:G73"/>
    <mergeCell ref="H73:I73"/>
    <mergeCell ref="A104:I104"/>
    <mergeCell ref="A105:I108"/>
    <mergeCell ref="A109:I110"/>
    <mergeCell ref="A141:I142"/>
    <mergeCell ref="D112:E112"/>
    <mergeCell ref="F112:G112"/>
    <mergeCell ref="H112:I112"/>
    <mergeCell ref="A113:C113"/>
    <mergeCell ref="A114:B114"/>
    <mergeCell ref="A116:C116"/>
    <mergeCell ref="A115:B115"/>
    <mergeCell ref="E257:E258"/>
    <mergeCell ref="A220:I222"/>
    <mergeCell ref="A225:A226"/>
    <mergeCell ref="B225:D225"/>
    <mergeCell ref="E225:E226"/>
    <mergeCell ref="F225:G225"/>
    <mergeCell ref="B226:D226"/>
    <mergeCell ref="F226:G226"/>
    <mergeCell ref="H223:H224"/>
    <mergeCell ref="I223:I224"/>
    <mergeCell ref="C258:D258"/>
    <mergeCell ref="A257:A258"/>
    <mergeCell ref="B257:B258"/>
    <mergeCell ref="C257:D257"/>
    <mergeCell ref="A269:A270"/>
    <mergeCell ref="G262:G263"/>
    <mergeCell ref="H262:H263"/>
    <mergeCell ref="I262:I263"/>
    <mergeCell ref="C263:D263"/>
    <mergeCell ref="A262:A263"/>
    <mergeCell ref="B262:B263"/>
    <mergeCell ref="C262:D262"/>
    <mergeCell ref="E262:E263"/>
    <mergeCell ref="A264:A265"/>
    <mergeCell ref="E278:E279"/>
    <mergeCell ref="A267:I268"/>
    <mergeCell ref="A271:A272"/>
    <mergeCell ref="B271:B272"/>
    <mergeCell ref="C271:D271"/>
    <mergeCell ref="E271:E272"/>
    <mergeCell ref="G271:G272"/>
    <mergeCell ref="H271:H272"/>
    <mergeCell ref="I271:I272"/>
    <mergeCell ref="C272:D272"/>
    <mergeCell ref="C279:D279"/>
    <mergeCell ref="A278:A279"/>
    <mergeCell ref="B278:B279"/>
    <mergeCell ref="C278:D278"/>
    <mergeCell ref="I243:I244"/>
    <mergeCell ref="I245:I246"/>
    <mergeCell ref="G278:G279"/>
    <mergeCell ref="H278:H279"/>
    <mergeCell ref="I278:I279"/>
    <mergeCell ref="G257:G258"/>
    <mergeCell ref="H257:H258"/>
    <mergeCell ref="I257:I258"/>
    <mergeCell ref="I252:I253"/>
    <mergeCell ref="I254:I255"/>
  </mergeCells>
  <printOptions horizontalCentered="1"/>
  <pageMargins left="0.7086614173228347" right="0.6299212598425197" top="0.5511811023622047" bottom="0.7480314960629921" header="0.3937007874015748" footer="0.5905511811023623"/>
  <pageSetup horizontalDpi="300" verticalDpi="300" orientation="portrait" paperSize="9" r:id="rId2"/>
  <headerFooter alignWithMargins="0">
    <oddFooter>&amp;C&amp;12&amp;P</oddFooter>
  </headerFooter>
  <rowBreaks count="2" manualBreakCount="2">
    <brk id="191" max="8" man="1"/>
    <brk id="246" max="8" man="1"/>
  </rowBreaks>
  <drawing r:id="rId1"/>
</worksheet>
</file>

<file path=xl/worksheets/sheet7.xml><?xml version="1.0" encoding="utf-8"?>
<worksheet xmlns="http://schemas.openxmlformats.org/spreadsheetml/2006/main" xmlns:r="http://schemas.openxmlformats.org/officeDocument/2006/relationships">
  <dimension ref="A5:I222"/>
  <sheetViews>
    <sheetView workbookViewId="0" topLeftCell="A1">
      <selection activeCell="J51" sqref="J51"/>
    </sheetView>
  </sheetViews>
  <sheetFormatPr defaultColWidth="9.140625" defaultRowHeight="15" customHeight="1"/>
  <cols>
    <col min="1" max="8" width="9.140625" style="1" customWidth="1"/>
    <col min="9" max="9" width="10.28125" style="1" customWidth="1"/>
    <col min="10" max="16384" width="9.140625" style="1" customWidth="1"/>
  </cols>
  <sheetData>
    <row r="5" spans="1:9" ht="15" customHeight="1">
      <c r="A5" s="135" t="s">
        <v>213</v>
      </c>
      <c r="B5" s="135"/>
      <c r="C5" s="135"/>
      <c r="D5" s="135"/>
      <c r="E5" s="135"/>
      <c r="F5" s="135"/>
      <c r="G5" s="135"/>
      <c r="H5" s="135"/>
      <c r="I5" s="135"/>
    </row>
    <row r="6" spans="1:9" ht="15" customHeight="1">
      <c r="A6" s="135"/>
      <c r="B6" s="135"/>
      <c r="C6" s="135"/>
      <c r="D6" s="135"/>
      <c r="E6" s="135"/>
      <c r="F6" s="135"/>
      <c r="G6" s="135"/>
      <c r="H6" s="135"/>
      <c r="I6" s="135"/>
    </row>
    <row r="7" spans="1:9" ht="15" customHeight="1">
      <c r="A7" s="135"/>
      <c r="B7" s="135"/>
      <c r="C7" s="135"/>
      <c r="D7" s="135"/>
      <c r="E7" s="135"/>
      <c r="F7" s="135"/>
      <c r="G7" s="135"/>
      <c r="H7" s="135"/>
      <c r="I7" s="135"/>
    </row>
    <row r="8" spans="1:9" ht="15" customHeight="1">
      <c r="A8" s="135"/>
      <c r="B8" s="135"/>
      <c r="C8" s="135"/>
      <c r="D8" s="135"/>
      <c r="E8" s="135"/>
      <c r="F8" s="135"/>
      <c r="G8" s="135"/>
      <c r="H8" s="135"/>
      <c r="I8" s="135"/>
    </row>
    <row r="9" spans="1:9" ht="15" customHeight="1">
      <c r="A9" s="135" t="s">
        <v>214</v>
      </c>
      <c r="B9" s="135"/>
      <c r="C9" s="135"/>
      <c r="D9" s="135"/>
      <c r="E9" s="135"/>
      <c r="F9" s="135"/>
      <c r="G9" s="135"/>
      <c r="H9" s="135"/>
      <c r="I9" s="135"/>
    </row>
    <row r="10" spans="1:9" ht="15" customHeight="1">
      <c r="A10" s="135"/>
      <c r="B10" s="135"/>
      <c r="C10" s="135"/>
      <c r="D10" s="135"/>
      <c r="E10" s="135"/>
      <c r="F10" s="135"/>
      <c r="G10" s="135"/>
      <c r="H10" s="135"/>
      <c r="I10" s="135"/>
    </row>
    <row r="11" spans="1:9" ht="15" customHeight="1">
      <c r="A11" s="135" t="s">
        <v>215</v>
      </c>
      <c r="B11" s="135"/>
      <c r="C11" s="135"/>
      <c r="D11" s="135"/>
      <c r="E11" s="135"/>
      <c r="F11" s="135"/>
      <c r="G11" s="135"/>
      <c r="H11" s="135"/>
      <c r="I11" s="135"/>
    </row>
    <row r="12" spans="1:9" ht="15" customHeight="1">
      <c r="A12" s="135"/>
      <c r="B12" s="135"/>
      <c r="C12" s="135"/>
      <c r="D12" s="135"/>
      <c r="E12" s="135"/>
      <c r="F12" s="135"/>
      <c r="G12" s="135"/>
      <c r="H12" s="135"/>
      <c r="I12" s="135"/>
    </row>
    <row r="13" spans="1:9" ht="15" customHeight="1">
      <c r="A13" s="135" t="s">
        <v>216</v>
      </c>
      <c r="B13" s="135"/>
      <c r="C13" s="135"/>
      <c r="D13" s="135"/>
      <c r="E13" s="135"/>
      <c r="F13" s="135"/>
      <c r="G13" s="135"/>
      <c r="H13" s="135"/>
      <c r="I13" s="135"/>
    </row>
    <row r="14" spans="1:9" ht="15" customHeight="1">
      <c r="A14" s="135"/>
      <c r="B14" s="135"/>
      <c r="C14" s="135"/>
      <c r="D14" s="135"/>
      <c r="E14" s="135"/>
      <c r="F14" s="135"/>
      <c r="G14" s="135"/>
      <c r="H14" s="135"/>
      <c r="I14" s="135"/>
    </row>
    <row r="15" spans="1:9" ht="15" customHeight="1">
      <c r="A15" s="135"/>
      <c r="B15" s="135"/>
      <c r="C15" s="135"/>
      <c r="D15" s="135"/>
      <c r="E15" s="135"/>
      <c r="F15" s="135"/>
      <c r="G15" s="135"/>
      <c r="H15" s="135"/>
      <c r="I15" s="135"/>
    </row>
    <row r="16" spans="1:9" ht="15" customHeight="1">
      <c r="A16" s="135" t="s">
        <v>217</v>
      </c>
      <c r="B16" s="135"/>
      <c r="C16" s="135"/>
      <c r="D16" s="135"/>
      <c r="E16" s="135"/>
      <c r="F16" s="135"/>
      <c r="G16" s="135"/>
      <c r="H16" s="135"/>
      <c r="I16" s="135"/>
    </row>
    <row r="17" spans="1:9" ht="15" customHeight="1">
      <c r="A17" s="135"/>
      <c r="B17" s="135"/>
      <c r="C17" s="135"/>
      <c r="D17" s="135"/>
      <c r="E17" s="135"/>
      <c r="F17" s="135"/>
      <c r="G17" s="135"/>
      <c r="H17" s="135"/>
      <c r="I17" s="135"/>
    </row>
    <row r="18" spans="1:9" ht="15" customHeight="1">
      <c r="A18" s="135"/>
      <c r="B18" s="135"/>
      <c r="C18" s="135"/>
      <c r="D18" s="135"/>
      <c r="E18" s="135"/>
      <c r="F18" s="135"/>
      <c r="G18" s="135"/>
      <c r="H18" s="135"/>
      <c r="I18" s="135"/>
    </row>
    <row r="19" spans="1:9" ht="15" customHeight="1">
      <c r="A19" s="135" t="s">
        <v>218</v>
      </c>
      <c r="B19" s="135"/>
      <c r="C19" s="135"/>
      <c r="D19" s="135"/>
      <c r="E19" s="135"/>
      <c r="F19" s="135"/>
      <c r="G19" s="135"/>
      <c r="H19" s="135"/>
      <c r="I19" s="135"/>
    </row>
    <row r="20" spans="1:9" ht="15" customHeight="1">
      <c r="A20" s="135"/>
      <c r="B20" s="135"/>
      <c r="C20" s="135"/>
      <c r="D20" s="135"/>
      <c r="E20" s="135"/>
      <c r="F20" s="135"/>
      <c r="G20" s="135"/>
      <c r="H20" s="135"/>
      <c r="I20" s="135"/>
    </row>
    <row r="21" spans="1:9" ht="15" customHeight="1">
      <c r="A21" s="135"/>
      <c r="B21" s="135"/>
      <c r="C21" s="135"/>
      <c r="D21" s="135"/>
      <c r="E21" s="135"/>
      <c r="F21" s="135"/>
      <c r="G21" s="135"/>
      <c r="H21" s="135"/>
      <c r="I21" s="135"/>
    </row>
    <row r="22" spans="1:9" ht="15" customHeight="1">
      <c r="A22" s="135" t="s">
        <v>219</v>
      </c>
      <c r="B22" s="135"/>
      <c r="C22" s="135"/>
      <c r="D22" s="135"/>
      <c r="E22" s="135"/>
      <c r="F22" s="135"/>
      <c r="G22" s="135"/>
      <c r="H22" s="135"/>
      <c r="I22" s="135"/>
    </row>
    <row r="23" spans="1:9" ht="15" customHeight="1">
      <c r="A23" s="135"/>
      <c r="B23" s="135"/>
      <c r="C23" s="135"/>
      <c r="D23" s="135"/>
      <c r="E23" s="135"/>
      <c r="F23" s="135"/>
      <c r="G23" s="135"/>
      <c r="H23" s="135"/>
      <c r="I23" s="135"/>
    </row>
    <row r="24" spans="1:9" ht="15" customHeight="1">
      <c r="A24" s="135"/>
      <c r="B24" s="135"/>
      <c r="C24" s="135"/>
      <c r="D24" s="135"/>
      <c r="E24" s="135"/>
      <c r="F24" s="135"/>
      <c r="G24" s="135"/>
      <c r="H24" s="135"/>
      <c r="I24" s="135"/>
    </row>
    <row r="25" spans="1:9" ht="15" customHeight="1">
      <c r="A25" s="135"/>
      <c r="B25" s="135"/>
      <c r="C25" s="135"/>
      <c r="D25" s="135"/>
      <c r="E25" s="135"/>
      <c r="F25" s="135"/>
      <c r="G25" s="135"/>
      <c r="H25" s="135"/>
      <c r="I25" s="135"/>
    </row>
    <row r="26" spans="1:9" ht="15" customHeight="1">
      <c r="A26" s="135"/>
      <c r="B26" s="135"/>
      <c r="C26" s="135"/>
      <c r="D26" s="135"/>
      <c r="E26" s="135"/>
      <c r="F26" s="135"/>
      <c r="G26" s="135"/>
      <c r="H26" s="135"/>
      <c r="I26" s="135"/>
    </row>
    <row r="27" spans="1:9" ht="15" customHeight="1">
      <c r="A27" s="135" t="s">
        <v>222</v>
      </c>
      <c r="B27" s="135"/>
      <c r="C27" s="135"/>
      <c r="D27" s="135"/>
      <c r="E27" s="135"/>
      <c r="F27" s="135"/>
      <c r="G27" s="135"/>
      <c r="H27" s="135"/>
      <c r="I27" s="135"/>
    </row>
    <row r="28" spans="1:9" ht="15" customHeight="1">
      <c r="A28" s="135" t="s">
        <v>223</v>
      </c>
      <c r="B28" s="135"/>
      <c r="C28" s="135"/>
      <c r="D28" s="135"/>
      <c r="E28" s="135"/>
      <c r="F28" s="135"/>
      <c r="G28" s="135"/>
      <c r="H28" s="135"/>
      <c r="I28" s="135"/>
    </row>
    <row r="29" spans="1:9" ht="15" customHeight="1">
      <c r="A29" s="135"/>
      <c r="B29" s="135"/>
      <c r="C29" s="135"/>
      <c r="D29" s="135"/>
      <c r="E29" s="135"/>
      <c r="F29" s="135"/>
      <c r="G29" s="135"/>
      <c r="H29" s="135"/>
      <c r="I29" s="135"/>
    </row>
    <row r="30" spans="1:9" ht="15" customHeight="1">
      <c r="A30" s="135"/>
      <c r="B30" s="135"/>
      <c r="C30" s="135"/>
      <c r="D30" s="135"/>
      <c r="E30" s="135"/>
      <c r="F30" s="135"/>
      <c r="G30" s="135"/>
      <c r="H30" s="135"/>
      <c r="I30" s="135"/>
    </row>
    <row r="31" spans="1:9" ht="15" customHeight="1">
      <c r="A31" s="135"/>
      <c r="B31" s="135"/>
      <c r="C31" s="135"/>
      <c r="D31" s="135"/>
      <c r="E31" s="135"/>
      <c r="F31" s="135"/>
      <c r="G31" s="135"/>
      <c r="H31" s="135"/>
      <c r="I31" s="135"/>
    </row>
    <row r="32" spans="1:9" ht="15" customHeight="1">
      <c r="A32" s="135"/>
      <c r="B32" s="135"/>
      <c r="C32" s="135"/>
      <c r="D32" s="135"/>
      <c r="E32" s="135"/>
      <c r="F32" s="135"/>
      <c r="G32" s="135"/>
      <c r="H32" s="135"/>
      <c r="I32" s="135"/>
    </row>
    <row r="33" spans="1:9" ht="15" customHeight="1">
      <c r="A33" s="135"/>
      <c r="B33" s="135"/>
      <c r="C33" s="135"/>
      <c r="D33" s="135"/>
      <c r="E33" s="135"/>
      <c r="F33" s="135"/>
      <c r="G33" s="135"/>
      <c r="H33" s="135"/>
      <c r="I33" s="135"/>
    </row>
    <row r="34" spans="1:9" ht="15" customHeight="1">
      <c r="A34" s="135" t="s">
        <v>224</v>
      </c>
      <c r="B34" s="135"/>
      <c r="C34" s="135"/>
      <c r="D34" s="135"/>
      <c r="E34" s="135"/>
      <c r="F34" s="135"/>
      <c r="G34" s="135"/>
      <c r="H34" s="135"/>
      <c r="I34" s="135"/>
    </row>
    <row r="35" spans="1:9" ht="15" customHeight="1">
      <c r="A35" s="135"/>
      <c r="B35" s="135"/>
      <c r="C35" s="135"/>
      <c r="D35" s="135"/>
      <c r="E35" s="135"/>
      <c r="F35" s="135"/>
      <c r="G35" s="135"/>
      <c r="H35" s="135"/>
      <c r="I35" s="135"/>
    </row>
    <row r="36" spans="1:9" ht="15" customHeight="1">
      <c r="A36" s="135"/>
      <c r="B36" s="135"/>
      <c r="C36" s="135"/>
      <c r="D36" s="135"/>
      <c r="E36" s="135"/>
      <c r="F36" s="135"/>
      <c r="G36" s="135"/>
      <c r="H36" s="135"/>
      <c r="I36" s="135"/>
    </row>
    <row r="37" spans="1:9" ht="15" customHeight="1">
      <c r="A37" s="135"/>
      <c r="B37" s="135"/>
      <c r="C37" s="135"/>
      <c r="D37" s="135"/>
      <c r="E37" s="135"/>
      <c r="F37" s="135"/>
      <c r="G37" s="135"/>
      <c r="H37" s="135"/>
      <c r="I37" s="135"/>
    </row>
    <row r="38" spans="1:9" ht="15" customHeight="1">
      <c r="A38" s="135"/>
      <c r="B38" s="135"/>
      <c r="C38" s="135"/>
      <c r="D38" s="135"/>
      <c r="E38" s="135"/>
      <c r="F38" s="135"/>
      <c r="G38" s="135"/>
      <c r="H38" s="135"/>
      <c r="I38" s="135"/>
    </row>
    <row r="39" spans="1:9" ht="15" customHeight="1">
      <c r="A39" s="135" t="s">
        <v>225</v>
      </c>
      <c r="B39" s="135"/>
      <c r="C39" s="135"/>
      <c r="D39" s="135"/>
      <c r="E39" s="135"/>
      <c r="F39" s="135"/>
      <c r="G39" s="135"/>
      <c r="H39" s="135"/>
      <c r="I39" s="135"/>
    </row>
    <row r="40" spans="1:9" ht="15" customHeight="1">
      <c r="A40" s="135"/>
      <c r="B40" s="135"/>
      <c r="C40" s="135"/>
      <c r="D40" s="135"/>
      <c r="E40" s="135"/>
      <c r="F40" s="135"/>
      <c r="G40" s="135"/>
      <c r="H40" s="135"/>
      <c r="I40" s="135"/>
    </row>
    <row r="41" spans="1:9" ht="15" customHeight="1">
      <c r="A41" s="135" t="s">
        <v>226</v>
      </c>
      <c r="B41" s="135"/>
      <c r="C41" s="135"/>
      <c r="D41" s="135"/>
      <c r="E41" s="135"/>
      <c r="F41" s="135"/>
      <c r="G41" s="135"/>
      <c r="H41" s="135"/>
      <c r="I41" s="135"/>
    </row>
    <row r="42" spans="1:9" ht="15" customHeight="1">
      <c r="A42" s="135"/>
      <c r="B42" s="135"/>
      <c r="C42" s="135"/>
      <c r="D42" s="135"/>
      <c r="E42" s="135"/>
      <c r="F42" s="135"/>
      <c r="G42" s="135"/>
      <c r="H42" s="135"/>
      <c r="I42" s="135"/>
    </row>
    <row r="43" spans="1:9" ht="15" customHeight="1">
      <c r="A43" s="135" t="s">
        <v>227</v>
      </c>
      <c r="B43" s="135"/>
      <c r="C43" s="135"/>
      <c r="D43" s="135"/>
      <c r="E43" s="135"/>
      <c r="F43" s="135"/>
      <c r="G43" s="135"/>
      <c r="H43" s="135"/>
      <c r="I43" s="135"/>
    </row>
    <row r="44" spans="1:9" ht="15" customHeight="1">
      <c r="A44" s="135"/>
      <c r="B44" s="135"/>
      <c r="C44" s="135"/>
      <c r="D44" s="135"/>
      <c r="E44" s="135"/>
      <c r="F44" s="135"/>
      <c r="G44" s="135"/>
      <c r="H44" s="135"/>
      <c r="I44" s="135"/>
    </row>
    <row r="45" spans="1:9" ht="15" customHeight="1">
      <c r="A45" s="135" t="s">
        <v>228</v>
      </c>
      <c r="B45" s="135"/>
      <c r="C45" s="135"/>
      <c r="D45" s="135"/>
      <c r="E45" s="135"/>
      <c r="F45" s="135"/>
      <c r="G45" s="135"/>
      <c r="H45" s="135"/>
      <c r="I45" s="135"/>
    </row>
    <row r="46" spans="1:9" ht="15" customHeight="1">
      <c r="A46" s="135"/>
      <c r="B46" s="135"/>
      <c r="C46" s="135"/>
      <c r="D46" s="135"/>
      <c r="E46" s="135"/>
      <c r="F46" s="135"/>
      <c r="G46" s="135"/>
      <c r="H46" s="135"/>
      <c r="I46" s="135"/>
    </row>
    <row r="47" spans="1:9" ht="15" customHeight="1">
      <c r="A47" s="135" t="s">
        <v>229</v>
      </c>
      <c r="B47" s="135"/>
      <c r="C47" s="135"/>
      <c r="D47" s="135"/>
      <c r="E47" s="135"/>
      <c r="F47" s="135"/>
      <c r="G47" s="135"/>
      <c r="H47" s="135"/>
      <c r="I47" s="135"/>
    </row>
    <row r="48" spans="1:9" ht="15" customHeight="1">
      <c r="A48" s="135"/>
      <c r="B48" s="135"/>
      <c r="C48" s="135"/>
      <c r="D48" s="135"/>
      <c r="E48" s="135"/>
      <c r="F48" s="135"/>
      <c r="G48" s="135"/>
      <c r="H48" s="135"/>
      <c r="I48" s="135"/>
    </row>
    <row r="49" spans="1:9" ht="15" customHeight="1">
      <c r="A49" s="135"/>
      <c r="B49" s="135"/>
      <c r="C49" s="135"/>
      <c r="D49" s="135"/>
      <c r="E49" s="135"/>
      <c r="F49" s="135"/>
      <c r="G49" s="135"/>
      <c r="H49" s="135"/>
      <c r="I49" s="135"/>
    </row>
    <row r="50" spans="1:9" ht="15" customHeight="1">
      <c r="A50" s="135" t="s">
        <v>230</v>
      </c>
      <c r="B50" s="135"/>
      <c r="C50" s="135"/>
      <c r="D50" s="135"/>
      <c r="E50" s="135"/>
      <c r="F50" s="135"/>
      <c r="G50" s="135"/>
      <c r="H50" s="135"/>
      <c r="I50" s="135"/>
    </row>
    <row r="51" spans="1:9" ht="15" customHeight="1">
      <c r="A51" s="135"/>
      <c r="B51" s="135"/>
      <c r="C51" s="135"/>
      <c r="D51" s="135"/>
      <c r="E51" s="135"/>
      <c r="F51" s="135"/>
      <c r="G51" s="135"/>
      <c r="H51" s="135"/>
      <c r="I51" s="135"/>
    </row>
    <row r="52" spans="1:9" ht="15" customHeight="1">
      <c r="A52" s="135"/>
      <c r="B52" s="135"/>
      <c r="C52" s="135"/>
      <c r="D52" s="135"/>
      <c r="E52" s="135"/>
      <c r="F52" s="135"/>
      <c r="G52" s="135"/>
      <c r="H52" s="135"/>
      <c r="I52" s="135"/>
    </row>
    <row r="53" spans="1:9" ht="15" customHeight="1">
      <c r="A53" s="135" t="s">
        <v>231</v>
      </c>
      <c r="B53" s="135"/>
      <c r="C53" s="135"/>
      <c r="D53" s="135"/>
      <c r="E53" s="135"/>
      <c r="F53" s="135"/>
      <c r="G53" s="135"/>
      <c r="H53" s="135"/>
      <c r="I53" s="135"/>
    </row>
    <row r="54" spans="1:9" ht="15" customHeight="1">
      <c r="A54" s="135"/>
      <c r="B54" s="135"/>
      <c r="C54" s="135"/>
      <c r="D54" s="135"/>
      <c r="E54" s="135"/>
      <c r="F54" s="135"/>
      <c r="G54" s="135"/>
      <c r="H54" s="135"/>
      <c r="I54" s="135"/>
    </row>
    <row r="55" spans="1:9" ht="15" customHeight="1">
      <c r="A55" s="135" t="s">
        <v>232</v>
      </c>
      <c r="B55" s="135"/>
      <c r="C55" s="135"/>
      <c r="D55" s="135"/>
      <c r="E55" s="135"/>
      <c r="F55" s="135"/>
      <c r="G55" s="135"/>
      <c r="H55" s="135"/>
      <c r="I55" s="135"/>
    </row>
    <row r="56" spans="1:9" ht="15" customHeight="1">
      <c r="A56" s="135"/>
      <c r="B56" s="135"/>
      <c r="C56" s="135"/>
      <c r="D56" s="135"/>
      <c r="E56" s="135"/>
      <c r="F56" s="135"/>
      <c r="G56" s="135"/>
      <c r="H56" s="135"/>
      <c r="I56" s="135"/>
    </row>
    <row r="57" spans="1:9" ht="15" customHeight="1">
      <c r="A57" s="135"/>
      <c r="B57" s="135"/>
      <c r="C57" s="135"/>
      <c r="D57" s="135"/>
      <c r="E57" s="135"/>
      <c r="F57" s="135"/>
      <c r="G57" s="135"/>
      <c r="H57" s="135"/>
      <c r="I57" s="135"/>
    </row>
    <row r="58" spans="1:9" ht="15" customHeight="1">
      <c r="A58" s="135"/>
      <c r="B58" s="135"/>
      <c r="C58" s="135"/>
      <c r="D58" s="135"/>
      <c r="E58" s="135"/>
      <c r="F58" s="135"/>
      <c r="G58" s="135"/>
      <c r="H58" s="135"/>
      <c r="I58" s="135"/>
    </row>
    <row r="59" spans="1:9" ht="15" customHeight="1">
      <c r="A59" s="135"/>
      <c r="B59" s="135"/>
      <c r="C59" s="135"/>
      <c r="D59" s="135"/>
      <c r="E59" s="135"/>
      <c r="F59" s="135"/>
      <c r="G59" s="135"/>
      <c r="H59" s="135"/>
      <c r="I59" s="135"/>
    </row>
    <row r="60" spans="1:9" ht="15" customHeight="1">
      <c r="A60" s="135"/>
      <c r="B60" s="135"/>
      <c r="C60" s="135"/>
      <c r="D60" s="135"/>
      <c r="E60" s="135"/>
      <c r="F60" s="135"/>
      <c r="G60" s="135"/>
      <c r="H60" s="135"/>
      <c r="I60" s="135"/>
    </row>
    <row r="61" spans="1:9" ht="15" customHeight="1">
      <c r="A61" s="135" t="s">
        <v>233</v>
      </c>
      <c r="B61" s="135"/>
      <c r="C61" s="135"/>
      <c r="D61" s="135"/>
      <c r="E61" s="135"/>
      <c r="F61" s="135"/>
      <c r="G61" s="135"/>
      <c r="H61" s="135"/>
      <c r="I61" s="135"/>
    </row>
    <row r="62" spans="1:9" ht="15" customHeight="1">
      <c r="A62" s="135"/>
      <c r="B62" s="135"/>
      <c r="C62" s="135"/>
      <c r="D62" s="135"/>
      <c r="E62" s="135"/>
      <c r="F62" s="135"/>
      <c r="G62" s="135"/>
      <c r="H62" s="135"/>
      <c r="I62" s="135"/>
    </row>
    <row r="63" spans="1:9" ht="15" customHeight="1">
      <c r="A63" s="135"/>
      <c r="B63" s="135"/>
      <c r="C63" s="135"/>
      <c r="D63" s="135"/>
      <c r="E63" s="135"/>
      <c r="F63" s="135"/>
      <c r="G63" s="135"/>
      <c r="H63" s="135"/>
      <c r="I63" s="135"/>
    </row>
    <row r="64" spans="1:9" ht="15" customHeight="1">
      <c r="A64" s="135" t="s">
        <v>234</v>
      </c>
      <c r="B64" s="135"/>
      <c r="C64" s="135"/>
      <c r="D64" s="135"/>
      <c r="E64" s="135"/>
      <c r="F64" s="135"/>
      <c r="G64" s="135"/>
      <c r="H64" s="135"/>
      <c r="I64" s="135"/>
    </row>
    <row r="65" spans="1:9" ht="15" customHeight="1">
      <c r="A65" s="135"/>
      <c r="B65" s="135"/>
      <c r="C65" s="135"/>
      <c r="D65" s="135"/>
      <c r="E65" s="135"/>
      <c r="F65" s="135"/>
      <c r="G65" s="135"/>
      <c r="H65" s="135"/>
      <c r="I65" s="135"/>
    </row>
    <row r="66" spans="1:9" ht="15" customHeight="1">
      <c r="A66" s="135"/>
      <c r="B66" s="135"/>
      <c r="C66" s="135"/>
      <c r="D66" s="135"/>
      <c r="E66" s="135"/>
      <c r="F66" s="135"/>
      <c r="G66" s="135"/>
      <c r="H66" s="135"/>
      <c r="I66" s="135"/>
    </row>
    <row r="67" spans="1:9" ht="15" customHeight="1">
      <c r="A67" s="135" t="s">
        <v>235</v>
      </c>
      <c r="B67" s="135"/>
      <c r="C67" s="135"/>
      <c r="D67" s="135"/>
      <c r="E67" s="135"/>
      <c r="F67" s="135"/>
      <c r="G67" s="135"/>
      <c r="H67" s="135"/>
      <c r="I67" s="135"/>
    </row>
    <row r="68" spans="1:9" ht="15" customHeight="1">
      <c r="A68" s="135"/>
      <c r="B68" s="135"/>
      <c r="C68" s="135"/>
      <c r="D68" s="135"/>
      <c r="E68" s="135"/>
      <c r="F68" s="135"/>
      <c r="G68" s="135"/>
      <c r="H68" s="135"/>
      <c r="I68" s="135"/>
    </row>
    <row r="69" spans="1:9" ht="15" customHeight="1">
      <c r="A69" s="135"/>
      <c r="B69" s="135"/>
      <c r="C69" s="135"/>
      <c r="D69" s="135"/>
      <c r="E69" s="135"/>
      <c r="F69" s="135"/>
      <c r="G69" s="135"/>
      <c r="H69" s="135"/>
      <c r="I69" s="135"/>
    </row>
    <row r="70" spans="1:9" ht="15" customHeight="1">
      <c r="A70" s="135"/>
      <c r="B70" s="135"/>
      <c r="C70" s="135"/>
      <c r="D70" s="135"/>
      <c r="E70" s="135"/>
      <c r="F70" s="135"/>
      <c r="G70" s="135"/>
      <c r="H70" s="135"/>
      <c r="I70" s="135"/>
    </row>
    <row r="71" spans="1:9" ht="15" customHeight="1">
      <c r="A71" s="135"/>
      <c r="B71" s="135"/>
      <c r="C71" s="135"/>
      <c r="D71" s="135"/>
      <c r="E71" s="135"/>
      <c r="F71" s="135"/>
      <c r="G71" s="135"/>
      <c r="H71" s="135"/>
      <c r="I71" s="135"/>
    </row>
    <row r="72" spans="1:9" ht="15" customHeight="1">
      <c r="A72" s="135"/>
      <c r="B72" s="135"/>
      <c r="C72" s="135"/>
      <c r="D72" s="135"/>
      <c r="E72" s="135"/>
      <c r="F72" s="135"/>
      <c r="G72" s="135"/>
      <c r="H72" s="135"/>
      <c r="I72" s="135"/>
    </row>
    <row r="73" spans="1:9" ht="15" customHeight="1">
      <c r="A73" s="135" t="s">
        <v>236</v>
      </c>
      <c r="B73" s="135"/>
      <c r="C73" s="135"/>
      <c r="D73" s="135"/>
      <c r="E73" s="135"/>
      <c r="F73" s="135"/>
      <c r="G73" s="135"/>
      <c r="H73" s="135"/>
      <c r="I73" s="135"/>
    </row>
    <row r="74" spans="1:9" ht="15" customHeight="1">
      <c r="A74" s="135"/>
      <c r="B74" s="135"/>
      <c r="C74" s="135"/>
      <c r="D74" s="135"/>
      <c r="E74" s="135"/>
      <c r="F74" s="135"/>
      <c r="G74" s="135"/>
      <c r="H74" s="135"/>
      <c r="I74" s="135"/>
    </row>
    <row r="75" spans="1:9" ht="15" customHeight="1">
      <c r="A75" s="135"/>
      <c r="B75" s="135"/>
      <c r="C75" s="135"/>
      <c r="D75" s="135"/>
      <c r="E75" s="135"/>
      <c r="F75" s="135"/>
      <c r="G75" s="135"/>
      <c r="H75" s="135"/>
      <c r="I75" s="135"/>
    </row>
    <row r="76" spans="1:9" ht="15" customHeight="1">
      <c r="A76" s="135"/>
      <c r="B76" s="135"/>
      <c r="C76" s="135"/>
      <c r="D76" s="135"/>
      <c r="E76" s="135"/>
      <c r="F76" s="135"/>
      <c r="G76" s="135"/>
      <c r="H76" s="135"/>
      <c r="I76" s="135"/>
    </row>
    <row r="77" spans="1:9" ht="15" customHeight="1">
      <c r="A77" s="135" t="s">
        <v>237</v>
      </c>
      <c r="B77" s="135"/>
      <c r="C77" s="135"/>
      <c r="D77" s="135"/>
      <c r="E77" s="135"/>
      <c r="F77" s="135"/>
      <c r="G77" s="135"/>
      <c r="H77" s="135"/>
      <c r="I77" s="135"/>
    </row>
    <row r="78" spans="1:9" ht="15" customHeight="1">
      <c r="A78" s="135"/>
      <c r="B78" s="135"/>
      <c r="C78" s="135"/>
      <c r="D78" s="135"/>
      <c r="E78" s="135"/>
      <c r="F78" s="135"/>
      <c r="G78" s="135"/>
      <c r="H78" s="135"/>
      <c r="I78" s="135"/>
    </row>
    <row r="79" spans="1:9" ht="15" customHeight="1">
      <c r="A79" s="135"/>
      <c r="B79" s="135"/>
      <c r="C79" s="135"/>
      <c r="D79" s="135"/>
      <c r="E79" s="135"/>
      <c r="F79" s="135"/>
      <c r="G79" s="135"/>
      <c r="H79" s="135"/>
      <c r="I79" s="135"/>
    </row>
    <row r="80" spans="1:9" ht="15" customHeight="1">
      <c r="A80" s="135" t="s">
        <v>238</v>
      </c>
      <c r="B80" s="135"/>
      <c r="C80" s="135"/>
      <c r="D80" s="135"/>
      <c r="E80" s="135"/>
      <c r="F80" s="135"/>
      <c r="G80" s="135"/>
      <c r="H80" s="135"/>
      <c r="I80" s="135"/>
    </row>
    <row r="81" spans="1:9" ht="15" customHeight="1">
      <c r="A81" s="135"/>
      <c r="B81" s="135"/>
      <c r="C81" s="135"/>
      <c r="D81" s="135"/>
      <c r="E81" s="135"/>
      <c r="F81" s="135"/>
      <c r="G81" s="135"/>
      <c r="H81" s="135"/>
      <c r="I81" s="135"/>
    </row>
    <row r="82" spans="1:9" ht="15" customHeight="1">
      <c r="A82" s="135"/>
      <c r="B82" s="135"/>
      <c r="C82" s="135"/>
      <c r="D82" s="135"/>
      <c r="E82" s="135"/>
      <c r="F82" s="135"/>
      <c r="G82" s="135"/>
      <c r="H82" s="135"/>
      <c r="I82" s="135"/>
    </row>
    <row r="83" spans="1:9" ht="15" customHeight="1">
      <c r="A83" s="135" t="s">
        <v>243</v>
      </c>
      <c r="B83" s="135"/>
      <c r="C83" s="135"/>
      <c r="D83" s="135"/>
      <c r="E83" s="135"/>
      <c r="F83" s="135"/>
      <c r="G83" s="135"/>
      <c r="H83" s="135"/>
      <c r="I83" s="135"/>
    </row>
    <row r="84" spans="1:9" ht="15" customHeight="1">
      <c r="A84" s="135"/>
      <c r="B84" s="135"/>
      <c r="C84" s="135"/>
      <c r="D84" s="135"/>
      <c r="E84" s="135"/>
      <c r="F84" s="135"/>
      <c r="G84" s="135"/>
      <c r="H84" s="135"/>
      <c r="I84" s="135"/>
    </row>
    <row r="85" spans="1:9" ht="15" customHeight="1">
      <c r="A85" s="135"/>
      <c r="B85" s="135"/>
      <c r="C85" s="135"/>
      <c r="D85" s="135"/>
      <c r="E85" s="135"/>
      <c r="F85" s="135"/>
      <c r="G85" s="135"/>
      <c r="H85" s="135"/>
      <c r="I85" s="135"/>
    </row>
    <row r="86" spans="1:9" ht="15" customHeight="1">
      <c r="A86" s="135" t="s">
        <v>239</v>
      </c>
      <c r="B86" s="135"/>
      <c r="C86" s="135"/>
      <c r="D86" s="135"/>
      <c r="E86" s="135"/>
      <c r="F86" s="135"/>
      <c r="G86" s="135"/>
      <c r="H86" s="135"/>
      <c r="I86" s="135"/>
    </row>
    <row r="87" spans="1:9" ht="15" customHeight="1">
      <c r="A87" s="135"/>
      <c r="B87" s="135"/>
      <c r="C87" s="135"/>
      <c r="D87" s="135"/>
      <c r="E87" s="135"/>
      <c r="F87" s="135"/>
      <c r="G87" s="135"/>
      <c r="H87" s="135"/>
      <c r="I87" s="135"/>
    </row>
    <row r="88" spans="1:9" ht="15" customHeight="1">
      <c r="A88" s="135"/>
      <c r="B88" s="135"/>
      <c r="C88" s="135"/>
      <c r="D88" s="135"/>
      <c r="E88" s="135"/>
      <c r="F88" s="135"/>
      <c r="G88" s="135"/>
      <c r="H88" s="135"/>
      <c r="I88" s="135"/>
    </row>
    <row r="89" spans="1:9" ht="15" customHeight="1">
      <c r="A89" s="135" t="s">
        <v>240</v>
      </c>
      <c r="B89" s="135"/>
      <c r="C89" s="135"/>
      <c r="D89" s="135"/>
      <c r="E89" s="135"/>
      <c r="F89" s="135"/>
      <c r="G89" s="135"/>
      <c r="H89" s="135"/>
      <c r="I89" s="135"/>
    </row>
    <row r="90" spans="1:9" ht="15" customHeight="1">
      <c r="A90" s="135" t="s">
        <v>241</v>
      </c>
      <c r="B90" s="135"/>
      <c r="C90" s="135"/>
      <c r="D90" s="135"/>
      <c r="E90" s="135"/>
      <c r="F90" s="135"/>
      <c r="G90" s="135"/>
      <c r="H90" s="135"/>
      <c r="I90" s="135"/>
    </row>
    <row r="91" spans="1:9" ht="15" customHeight="1">
      <c r="A91" s="135"/>
      <c r="B91" s="135"/>
      <c r="C91" s="135"/>
      <c r="D91" s="135"/>
      <c r="E91" s="135"/>
      <c r="F91" s="135"/>
      <c r="G91" s="135"/>
      <c r="H91" s="135"/>
      <c r="I91" s="135"/>
    </row>
    <row r="92" spans="1:9" ht="15" customHeight="1">
      <c r="A92" s="135" t="s">
        <v>242</v>
      </c>
      <c r="B92" s="135"/>
      <c r="C92" s="135"/>
      <c r="D92" s="135"/>
      <c r="E92" s="135"/>
      <c r="F92" s="135"/>
      <c r="G92" s="135"/>
      <c r="H92" s="135"/>
      <c r="I92" s="135"/>
    </row>
    <row r="93" spans="1:9" ht="15" customHeight="1">
      <c r="A93" s="135"/>
      <c r="B93" s="135"/>
      <c r="C93" s="135"/>
      <c r="D93" s="135"/>
      <c r="E93" s="135"/>
      <c r="F93" s="135"/>
      <c r="G93" s="135"/>
      <c r="H93" s="135"/>
      <c r="I93" s="135"/>
    </row>
    <row r="94" spans="1:9" ht="15" customHeight="1">
      <c r="A94" s="55"/>
      <c r="B94" s="55"/>
      <c r="C94" s="55"/>
      <c r="D94" s="55"/>
      <c r="E94" s="55"/>
      <c r="F94" s="55"/>
      <c r="G94" s="55"/>
      <c r="H94" s="55"/>
      <c r="I94" s="55"/>
    </row>
    <row r="95" spans="1:9" ht="15" customHeight="1">
      <c r="A95" s="55"/>
      <c r="B95" s="55"/>
      <c r="C95" s="55"/>
      <c r="D95" s="55"/>
      <c r="E95" s="55"/>
      <c r="F95" s="55"/>
      <c r="G95" s="55"/>
      <c r="H95" s="55"/>
      <c r="I95" s="55"/>
    </row>
    <row r="96" spans="1:9" ht="15" customHeight="1">
      <c r="A96" s="201"/>
      <c r="B96" s="201"/>
      <c r="C96" s="201"/>
      <c r="D96" s="201"/>
      <c r="E96" s="201"/>
      <c r="F96" s="201"/>
      <c r="G96" s="201"/>
      <c r="H96" s="201"/>
      <c r="I96" s="201"/>
    </row>
    <row r="97" spans="1:9" ht="15" customHeight="1">
      <c r="A97" s="201"/>
      <c r="B97" s="201"/>
      <c r="C97" s="201"/>
      <c r="D97" s="201"/>
      <c r="E97" s="201"/>
      <c r="F97" s="201"/>
      <c r="G97" s="201"/>
      <c r="H97" s="201"/>
      <c r="I97" s="201"/>
    </row>
    <row r="98" spans="1:9" ht="15" customHeight="1">
      <c r="A98" s="201"/>
      <c r="B98" s="201"/>
      <c r="C98" s="201"/>
      <c r="D98" s="201"/>
      <c r="E98" s="201"/>
      <c r="F98" s="201"/>
      <c r="G98" s="201"/>
      <c r="H98" s="201"/>
      <c r="I98" s="201"/>
    </row>
    <row r="99" spans="1:9" ht="15" customHeight="1">
      <c r="A99" s="201"/>
      <c r="B99" s="201"/>
      <c r="C99" s="201"/>
      <c r="D99" s="201"/>
      <c r="E99" s="201"/>
      <c r="F99" s="201"/>
      <c r="G99" s="201"/>
      <c r="H99" s="201"/>
      <c r="I99" s="201"/>
    </row>
    <row r="100" spans="1:9" ht="15" customHeight="1">
      <c r="A100" s="201"/>
      <c r="B100" s="201"/>
      <c r="C100" s="201"/>
      <c r="D100" s="201"/>
      <c r="E100" s="201"/>
      <c r="F100" s="201"/>
      <c r="G100" s="201"/>
      <c r="H100" s="201"/>
      <c r="I100" s="201"/>
    </row>
    <row r="101" spans="1:9" ht="15" customHeight="1">
      <c r="A101" s="201"/>
      <c r="B101" s="201"/>
      <c r="C101" s="201"/>
      <c r="D101" s="201"/>
      <c r="E101" s="201"/>
      <c r="F101" s="201"/>
      <c r="G101" s="201"/>
      <c r="H101" s="201"/>
      <c r="I101" s="201"/>
    </row>
    <row r="102" spans="1:9" ht="15" customHeight="1">
      <c r="A102" s="201"/>
      <c r="B102" s="201"/>
      <c r="C102" s="201"/>
      <c r="D102" s="201"/>
      <c r="E102" s="201"/>
      <c r="F102" s="201"/>
      <c r="G102" s="201"/>
      <c r="H102" s="201"/>
      <c r="I102" s="201"/>
    </row>
    <row r="103" spans="1:9" ht="15" customHeight="1">
      <c r="A103" s="201"/>
      <c r="B103" s="201"/>
      <c r="C103" s="201"/>
      <c r="D103" s="201"/>
      <c r="E103" s="201"/>
      <c r="F103" s="201"/>
      <c r="G103" s="201"/>
      <c r="H103" s="201"/>
      <c r="I103" s="201"/>
    </row>
    <row r="104" spans="1:9" ht="15" customHeight="1">
      <c r="A104" s="201"/>
      <c r="B104" s="201"/>
      <c r="C104" s="201"/>
      <c r="D104" s="201"/>
      <c r="E104" s="201"/>
      <c r="F104" s="201"/>
      <c r="G104" s="201"/>
      <c r="H104" s="201"/>
      <c r="I104" s="201"/>
    </row>
    <row r="105" spans="1:9" ht="15" customHeight="1">
      <c r="A105" s="161"/>
      <c r="B105" s="161"/>
      <c r="C105" s="161"/>
      <c r="D105" s="161"/>
      <c r="E105" s="161"/>
      <c r="F105" s="161"/>
      <c r="G105" s="161"/>
      <c r="H105" s="161"/>
      <c r="I105" s="161"/>
    </row>
    <row r="106" spans="1:9" ht="15" customHeight="1">
      <c r="A106" s="161"/>
      <c r="B106" s="161"/>
      <c r="C106" s="161"/>
      <c r="D106" s="161"/>
      <c r="E106" s="161"/>
      <c r="F106" s="161"/>
      <c r="G106" s="161"/>
      <c r="H106" s="161"/>
      <c r="I106" s="161"/>
    </row>
    <row r="107" spans="1:9" ht="15" customHeight="1">
      <c r="A107" s="161"/>
      <c r="B107" s="161"/>
      <c r="C107" s="161"/>
      <c r="D107" s="161"/>
      <c r="E107" s="161"/>
      <c r="F107" s="161"/>
      <c r="G107" s="161"/>
      <c r="H107" s="161"/>
      <c r="I107" s="161"/>
    </row>
    <row r="108" spans="1:9" ht="15" customHeight="1">
      <c r="A108" s="161"/>
      <c r="B108" s="161"/>
      <c r="C108" s="161"/>
      <c r="D108" s="161"/>
      <c r="E108" s="161"/>
      <c r="F108" s="161"/>
      <c r="G108" s="161"/>
      <c r="H108" s="161"/>
      <c r="I108" s="161"/>
    </row>
    <row r="109" spans="1:9" ht="15" customHeight="1">
      <c r="A109" s="161"/>
      <c r="B109" s="161"/>
      <c r="C109" s="161"/>
      <c r="D109" s="161"/>
      <c r="E109" s="161"/>
      <c r="F109" s="161"/>
      <c r="G109" s="161"/>
      <c r="H109" s="161"/>
      <c r="I109" s="161"/>
    </row>
    <row r="110" spans="1:9" ht="15" customHeight="1">
      <c r="A110" s="161"/>
      <c r="B110" s="161"/>
      <c r="C110" s="161"/>
      <c r="D110" s="161"/>
      <c r="E110" s="161"/>
      <c r="F110" s="161"/>
      <c r="G110" s="161"/>
      <c r="H110" s="161"/>
      <c r="I110" s="161"/>
    </row>
    <row r="111" spans="1:9" ht="15" customHeight="1">
      <c r="A111" s="161"/>
      <c r="B111" s="161"/>
      <c r="C111" s="161"/>
      <c r="D111" s="161"/>
      <c r="E111" s="161"/>
      <c r="F111" s="161"/>
      <c r="G111" s="161"/>
      <c r="H111" s="161"/>
      <c r="I111" s="161"/>
    </row>
    <row r="112" spans="1:9" ht="15" customHeight="1">
      <c r="A112" s="161"/>
      <c r="B112" s="161"/>
      <c r="C112" s="161"/>
      <c r="D112" s="161"/>
      <c r="E112" s="161"/>
      <c r="F112" s="161"/>
      <c r="G112" s="161"/>
      <c r="H112" s="161"/>
      <c r="I112" s="161"/>
    </row>
    <row r="113" spans="1:9" ht="15" customHeight="1">
      <c r="A113" s="161"/>
      <c r="B113" s="161"/>
      <c r="C113" s="161"/>
      <c r="D113" s="161"/>
      <c r="E113" s="161"/>
      <c r="F113" s="161"/>
      <c r="G113" s="161"/>
      <c r="H113" s="161"/>
      <c r="I113" s="161"/>
    </row>
    <row r="114" spans="1:9" ht="15" customHeight="1">
      <c r="A114" s="161"/>
      <c r="B114" s="161"/>
      <c r="C114" s="161"/>
      <c r="D114" s="161"/>
      <c r="E114" s="161"/>
      <c r="F114" s="161"/>
      <c r="G114" s="161"/>
      <c r="H114" s="161"/>
      <c r="I114" s="161"/>
    </row>
    <row r="115" spans="1:9" ht="15" customHeight="1">
      <c r="A115" s="200"/>
      <c r="B115" s="200"/>
      <c r="C115" s="200"/>
      <c r="D115" s="200"/>
      <c r="E115" s="200"/>
      <c r="F115" s="200"/>
      <c r="G115" s="200"/>
      <c r="H115" s="200"/>
      <c r="I115" s="200"/>
    </row>
    <row r="116" spans="1:9" ht="15" customHeight="1">
      <c r="A116" s="200"/>
      <c r="B116" s="200"/>
      <c r="C116" s="200"/>
      <c r="D116" s="200"/>
      <c r="E116" s="200"/>
      <c r="F116" s="200"/>
      <c r="G116" s="200"/>
      <c r="H116" s="200"/>
      <c r="I116" s="200"/>
    </row>
    <row r="117" spans="1:9" ht="15" customHeight="1">
      <c r="A117" s="200"/>
      <c r="B117" s="200"/>
      <c r="C117" s="200"/>
      <c r="D117" s="200"/>
      <c r="E117" s="200"/>
      <c r="F117" s="200"/>
      <c r="G117" s="200"/>
      <c r="H117" s="200"/>
      <c r="I117" s="200"/>
    </row>
    <row r="118" spans="1:9" ht="15" customHeight="1">
      <c r="A118" s="200"/>
      <c r="B118" s="200"/>
      <c r="C118" s="200"/>
      <c r="D118" s="200"/>
      <c r="E118" s="200"/>
      <c r="F118" s="200"/>
      <c r="G118" s="200"/>
      <c r="H118" s="200"/>
      <c r="I118" s="200"/>
    </row>
    <row r="119" spans="1:9" ht="15" customHeight="1">
      <c r="A119" s="200"/>
      <c r="B119" s="200"/>
      <c r="C119" s="200"/>
      <c r="D119" s="200"/>
      <c r="E119" s="200"/>
      <c r="F119" s="200"/>
      <c r="G119" s="200"/>
      <c r="H119" s="200"/>
      <c r="I119" s="200"/>
    </row>
    <row r="120" spans="1:9" ht="15" customHeight="1">
      <c r="A120" s="200"/>
      <c r="B120" s="200"/>
      <c r="C120" s="200"/>
      <c r="D120" s="200"/>
      <c r="E120" s="200"/>
      <c r="F120" s="200"/>
      <c r="G120" s="200"/>
      <c r="H120" s="200"/>
      <c r="I120" s="200"/>
    </row>
    <row r="121" spans="1:9" ht="15" customHeight="1">
      <c r="A121" s="200"/>
      <c r="B121" s="200"/>
      <c r="C121" s="200"/>
      <c r="D121" s="200"/>
      <c r="E121" s="200"/>
      <c r="F121" s="200"/>
      <c r="G121" s="200"/>
      <c r="H121" s="200"/>
      <c r="I121" s="200"/>
    </row>
    <row r="122" spans="1:9" ht="15" customHeight="1">
      <c r="A122" s="200"/>
      <c r="B122" s="200"/>
      <c r="C122" s="200"/>
      <c r="D122" s="200"/>
      <c r="E122" s="200"/>
      <c r="F122" s="200"/>
      <c r="G122" s="200"/>
      <c r="H122" s="200"/>
      <c r="I122" s="200"/>
    </row>
    <row r="123" spans="1:9" ht="15" customHeight="1">
      <c r="A123" s="200"/>
      <c r="B123" s="200"/>
      <c r="C123" s="200"/>
      <c r="D123" s="200"/>
      <c r="E123" s="200"/>
      <c r="F123" s="200"/>
      <c r="G123" s="200"/>
      <c r="H123" s="200"/>
      <c r="I123" s="200"/>
    </row>
    <row r="124" spans="1:9" ht="15" customHeight="1">
      <c r="A124" s="200"/>
      <c r="B124" s="200"/>
      <c r="C124" s="200"/>
      <c r="D124" s="200"/>
      <c r="E124" s="200"/>
      <c r="F124" s="200"/>
      <c r="G124" s="200"/>
      <c r="H124" s="200"/>
      <c r="I124" s="200"/>
    </row>
    <row r="125" spans="1:9" ht="15" customHeight="1">
      <c r="A125" s="200"/>
      <c r="B125" s="200"/>
      <c r="C125" s="200"/>
      <c r="D125" s="200"/>
      <c r="E125" s="200"/>
      <c r="F125" s="200"/>
      <c r="G125" s="200"/>
      <c r="H125" s="200"/>
      <c r="I125" s="200"/>
    </row>
    <row r="126" spans="1:9" ht="15" customHeight="1">
      <c r="A126" s="200"/>
      <c r="B126" s="200"/>
      <c r="C126" s="200"/>
      <c r="D126" s="200"/>
      <c r="E126" s="200"/>
      <c r="F126" s="200"/>
      <c r="G126" s="200"/>
      <c r="H126" s="200"/>
      <c r="I126" s="200"/>
    </row>
    <row r="127" spans="1:9" ht="15" customHeight="1">
      <c r="A127" s="200"/>
      <c r="B127" s="200"/>
      <c r="C127" s="200"/>
      <c r="D127" s="200"/>
      <c r="E127" s="200"/>
      <c r="F127" s="200"/>
      <c r="G127" s="200"/>
      <c r="H127" s="200"/>
      <c r="I127" s="200"/>
    </row>
    <row r="128" spans="1:9" ht="15" customHeight="1">
      <c r="A128" s="200"/>
      <c r="B128" s="200"/>
      <c r="C128" s="200"/>
      <c r="D128" s="200"/>
      <c r="E128" s="200"/>
      <c r="F128" s="200"/>
      <c r="G128" s="200"/>
      <c r="H128" s="200"/>
      <c r="I128" s="200"/>
    </row>
    <row r="129" spans="1:9" ht="15" customHeight="1">
      <c r="A129" s="200"/>
      <c r="B129" s="200"/>
      <c r="C129" s="200"/>
      <c r="D129" s="200"/>
      <c r="E129" s="200"/>
      <c r="F129" s="200"/>
      <c r="G129" s="200"/>
      <c r="H129" s="200"/>
      <c r="I129" s="200"/>
    </row>
    <row r="130" spans="1:9" ht="15" customHeight="1">
      <c r="A130" s="200"/>
      <c r="B130" s="200"/>
      <c r="C130" s="200"/>
      <c r="D130" s="200"/>
      <c r="E130" s="200"/>
      <c r="F130" s="200"/>
      <c r="G130" s="200"/>
      <c r="H130" s="200"/>
      <c r="I130" s="200"/>
    </row>
    <row r="131" spans="1:9" ht="15" customHeight="1">
      <c r="A131" s="200"/>
      <c r="B131" s="200"/>
      <c r="C131" s="200"/>
      <c r="D131" s="200"/>
      <c r="E131" s="200"/>
      <c r="F131" s="200"/>
      <c r="G131" s="200"/>
      <c r="H131" s="200"/>
      <c r="I131" s="200"/>
    </row>
    <row r="132" spans="1:9" ht="15" customHeight="1">
      <c r="A132" s="200"/>
      <c r="B132" s="200"/>
      <c r="C132" s="200"/>
      <c r="D132" s="200"/>
      <c r="E132" s="200"/>
      <c r="F132" s="200"/>
      <c r="G132" s="200"/>
      <c r="H132" s="200"/>
      <c r="I132" s="200"/>
    </row>
    <row r="133" spans="1:9" ht="15" customHeight="1">
      <c r="A133" s="200"/>
      <c r="B133" s="200"/>
      <c r="C133" s="200"/>
      <c r="D133" s="200"/>
      <c r="E133" s="200"/>
      <c r="F133" s="200"/>
      <c r="G133" s="200"/>
      <c r="H133" s="200"/>
      <c r="I133" s="200"/>
    </row>
    <row r="134" spans="1:9" ht="15" customHeight="1">
      <c r="A134" s="200"/>
      <c r="B134" s="200"/>
      <c r="C134" s="200"/>
      <c r="D134" s="200"/>
      <c r="E134" s="200"/>
      <c r="F134" s="200"/>
      <c r="G134" s="200"/>
      <c r="H134" s="200"/>
      <c r="I134" s="200"/>
    </row>
    <row r="135" spans="1:9" ht="15" customHeight="1">
      <c r="A135" s="200"/>
      <c r="B135" s="200"/>
      <c r="C135" s="200"/>
      <c r="D135" s="200"/>
      <c r="E135" s="200"/>
      <c r="F135" s="200"/>
      <c r="G135" s="200"/>
      <c r="H135" s="200"/>
      <c r="I135" s="200"/>
    </row>
    <row r="136" spans="1:9" ht="15" customHeight="1">
      <c r="A136" s="200"/>
      <c r="B136" s="200"/>
      <c r="C136" s="200"/>
      <c r="D136" s="200"/>
      <c r="E136" s="200"/>
      <c r="F136" s="200"/>
      <c r="G136" s="200"/>
      <c r="H136" s="200"/>
      <c r="I136" s="200"/>
    </row>
    <row r="137" spans="1:9" ht="15" customHeight="1">
      <c r="A137" s="200"/>
      <c r="B137" s="200"/>
      <c r="C137" s="200"/>
      <c r="D137" s="200"/>
      <c r="E137" s="200"/>
      <c r="F137" s="200"/>
      <c r="G137" s="200"/>
      <c r="H137" s="200"/>
      <c r="I137" s="200"/>
    </row>
    <row r="138" spans="1:9" ht="15" customHeight="1">
      <c r="A138" s="200"/>
      <c r="B138" s="200"/>
      <c r="C138" s="200"/>
      <c r="D138" s="200"/>
      <c r="E138" s="200"/>
      <c r="F138" s="200"/>
      <c r="G138" s="200"/>
      <c r="H138" s="200"/>
      <c r="I138" s="200"/>
    </row>
    <row r="139" spans="1:9" ht="15" customHeight="1">
      <c r="A139" s="200"/>
      <c r="B139" s="200"/>
      <c r="C139" s="200"/>
      <c r="D139" s="200"/>
      <c r="E139" s="200"/>
      <c r="F139" s="200"/>
      <c r="G139" s="200"/>
      <c r="H139" s="200"/>
      <c r="I139" s="200"/>
    </row>
    <row r="140" spans="1:9" ht="15" customHeight="1">
      <c r="A140" s="200"/>
      <c r="B140" s="200"/>
      <c r="C140" s="200"/>
      <c r="D140" s="200"/>
      <c r="E140" s="200"/>
      <c r="F140" s="200"/>
      <c r="G140" s="200"/>
      <c r="H140" s="200"/>
      <c r="I140" s="200"/>
    </row>
    <row r="141" spans="1:9" ht="15" customHeight="1">
      <c r="A141" s="200"/>
      <c r="B141" s="200"/>
      <c r="C141" s="200"/>
      <c r="D141" s="200"/>
      <c r="E141" s="200"/>
      <c r="F141" s="200"/>
      <c r="G141" s="200"/>
      <c r="H141" s="200"/>
      <c r="I141" s="200"/>
    </row>
    <row r="142" spans="1:9" ht="15" customHeight="1">
      <c r="A142" s="200"/>
      <c r="B142" s="200"/>
      <c r="C142" s="200"/>
      <c r="D142" s="200"/>
      <c r="E142" s="200"/>
      <c r="F142" s="200"/>
      <c r="G142" s="200"/>
      <c r="H142" s="200"/>
      <c r="I142" s="200"/>
    </row>
    <row r="143" spans="1:9" ht="15" customHeight="1">
      <c r="A143" s="200"/>
      <c r="B143" s="200"/>
      <c r="C143" s="200"/>
      <c r="D143" s="200"/>
      <c r="E143" s="200"/>
      <c r="F143" s="200"/>
      <c r="G143" s="200"/>
      <c r="H143" s="200"/>
      <c r="I143" s="200"/>
    </row>
    <row r="144" spans="1:9" ht="15" customHeight="1">
      <c r="A144" s="200"/>
      <c r="B144" s="200"/>
      <c r="C144" s="200"/>
      <c r="D144" s="200"/>
      <c r="E144" s="200"/>
      <c r="F144" s="200"/>
      <c r="G144" s="200"/>
      <c r="H144" s="200"/>
      <c r="I144" s="200"/>
    </row>
    <row r="145" spans="1:9" ht="15" customHeight="1">
      <c r="A145" s="200"/>
      <c r="B145" s="200"/>
      <c r="C145" s="200"/>
      <c r="D145" s="200"/>
      <c r="E145" s="200"/>
      <c r="F145" s="200"/>
      <c r="G145" s="200"/>
      <c r="H145" s="200"/>
      <c r="I145" s="200"/>
    </row>
    <row r="146" spans="1:9" ht="15" customHeight="1">
      <c r="A146" s="200"/>
      <c r="B146" s="200"/>
      <c r="C146" s="200"/>
      <c r="D146" s="200"/>
      <c r="E146" s="200"/>
      <c r="F146" s="200"/>
      <c r="G146" s="200"/>
      <c r="H146" s="200"/>
      <c r="I146" s="200"/>
    </row>
    <row r="147" spans="1:9" ht="15" customHeight="1">
      <c r="A147" s="200"/>
      <c r="B147" s="200"/>
      <c r="C147" s="200"/>
      <c r="D147" s="200"/>
      <c r="E147" s="200"/>
      <c r="F147" s="200"/>
      <c r="G147" s="200"/>
      <c r="H147" s="200"/>
      <c r="I147" s="200"/>
    </row>
    <row r="148" spans="1:9" ht="15" customHeight="1">
      <c r="A148" s="200"/>
      <c r="B148" s="200"/>
      <c r="C148" s="200"/>
      <c r="D148" s="200"/>
      <c r="E148" s="200"/>
      <c r="F148" s="200"/>
      <c r="G148" s="200"/>
      <c r="H148" s="200"/>
      <c r="I148" s="200"/>
    </row>
    <row r="149" spans="1:9" ht="15" customHeight="1">
      <c r="A149" s="200"/>
      <c r="B149" s="200"/>
      <c r="C149" s="200"/>
      <c r="D149" s="200"/>
      <c r="E149" s="200"/>
      <c r="F149" s="200"/>
      <c r="G149" s="200"/>
      <c r="H149" s="200"/>
      <c r="I149" s="200"/>
    </row>
    <row r="150" spans="1:9" ht="15" customHeight="1">
      <c r="A150" s="200"/>
      <c r="B150" s="200"/>
      <c r="C150" s="200"/>
      <c r="D150" s="200"/>
      <c r="E150" s="200"/>
      <c r="F150" s="200"/>
      <c r="G150" s="200"/>
      <c r="H150" s="200"/>
      <c r="I150" s="200"/>
    </row>
    <row r="151" spans="1:9" ht="15" customHeight="1">
      <c r="A151" s="200"/>
      <c r="B151" s="200"/>
      <c r="C151" s="200"/>
      <c r="D151" s="200"/>
      <c r="E151" s="200"/>
      <c r="F151" s="200"/>
      <c r="G151" s="200"/>
      <c r="H151" s="200"/>
      <c r="I151" s="200"/>
    </row>
    <row r="152" spans="1:9" ht="15" customHeight="1">
      <c r="A152" s="200"/>
      <c r="B152" s="200"/>
      <c r="C152" s="200"/>
      <c r="D152" s="200"/>
      <c r="E152" s="200"/>
      <c r="F152" s="200"/>
      <c r="G152" s="200"/>
      <c r="H152" s="200"/>
      <c r="I152" s="200"/>
    </row>
    <row r="153" spans="1:9" ht="15" customHeight="1">
      <c r="A153" s="200"/>
      <c r="B153" s="200"/>
      <c r="C153" s="200"/>
      <c r="D153" s="200"/>
      <c r="E153" s="200"/>
      <c r="F153" s="200"/>
      <c r="G153" s="200"/>
      <c r="H153" s="200"/>
      <c r="I153" s="200"/>
    </row>
    <row r="154" spans="1:9" ht="15" customHeight="1">
      <c r="A154" s="200"/>
      <c r="B154" s="200"/>
      <c r="C154" s="200"/>
      <c r="D154" s="200"/>
      <c r="E154" s="200"/>
      <c r="F154" s="200"/>
      <c r="G154" s="200"/>
      <c r="H154" s="200"/>
      <c r="I154" s="200"/>
    </row>
    <row r="155" spans="1:9" ht="15" customHeight="1">
      <c r="A155" s="200"/>
      <c r="B155" s="200"/>
      <c r="C155" s="200"/>
      <c r="D155" s="200"/>
      <c r="E155" s="200"/>
      <c r="F155" s="200"/>
      <c r="G155" s="200"/>
      <c r="H155" s="200"/>
      <c r="I155" s="200"/>
    </row>
    <row r="156" spans="1:9" ht="15" customHeight="1">
      <c r="A156" s="200"/>
      <c r="B156" s="200"/>
      <c r="C156" s="200"/>
      <c r="D156" s="200"/>
      <c r="E156" s="200"/>
      <c r="F156" s="200"/>
      <c r="G156" s="200"/>
      <c r="H156" s="200"/>
      <c r="I156" s="200"/>
    </row>
    <row r="157" spans="1:9" ht="15" customHeight="1">
      <c r="A157" s="200"/>
      <c r="B157" s="200"/>
      <c r="C157" s="200"/>
      <c r="D157" s="200"/>
      <c r="E157" s="200"/>
      <c r="F157" s="200"/>
      <c r="G157" s="200"/>
      <c r="H157" s="200"/>
      <c r="I157" s="200"/>
    </row>
    <row r="158" spans="1:9" ht="15" customHeight="1">
      <c r="A158" s="200"/>
      <c r="B158" s="200"/>
      <c r="C158" s="200"/>
      <c r="D158" s="200"/>
      <c r="E158" s="200"/>
      <c r="F158" s="200"/>
      <c r="G158" s="200"/>
      <c r="H158" s="200"/>
      <c r="I158" s="200"/>
    </row>
    <row r="159" spans="1:9" ht="15" customHeight="1">
      <c r="A159" s="200"/>
      <c r="B159" s="200"/>
      <c r="C159" s="200"/>
      <c r="D159" s="200"/>
      <c r="E159" s="200"/>
      <c r="F159" s="200"/>
      <c r="G159" s="200"/>
      <c r="H159" s="200"/>
      <c r="I159" s="200"/>
    </row>
    <row r="160" spans="1:9" ht="15" customHeight="1">
      <c r="A160" s="200"/>
      <c r="B160" s="200"/>
      <c r="C160" s="200"/>
      <c r="D160" s="200"/>
      <c r="E160" s="200"/>
      <c r="F160" s="200"/>
      <c r="G160" s="200"/>
      <c r="H160" s="200"/>
      <c r="I160" s="200"/>
    </row>
    <row r="161" spans="1:9" ht="15" customHeight="1">
      <c r="A161" s="200"/>
      <c r="B161" s="200"/>
      <c r="C161" s="200"/>
      <c r="D161" s="200"/>
      <c r="E161" s="200"/>
      <c r="F161" s="200"/>
      <c r="G161" s="200"/>
      <c r="H161" s="200"/>
      <c r="I161" s="200"/>
    </row>
    <row r="162" spans="1:9" ht="15" customHeight="1">
      <c r="A162" s="200"/>
      <c r="B162" s="200"/>
      <c r="C162" s="200"/>
      <c r="D162" s="200"/>
      <c r="E162" s="200"/>
      <c r="F162" s="200"/>
      <c r="G162" s="200"/>
      <c r="H162" s="200"/>
      <c r="I162" s="200"/>
    </row>
    <row r="163" spans="1:9" ht="15" customHeight="1">
      <c r="A163" s="200"/>
      <c r="B163" s="200"/>
      <c r="C163" s="200"/>
      <c r="D163" s="200"/>
      <c r="E163" s="200"/>
      <c r="F163" s="200"/>
      <c r="G163" s="200"/>
      <c r="H163" s="200"/>
      <c r="I163" s="200"/>
    </row>
    <row r="164" spans="1:9" ht="15" customHeight="1">
      <c r="A164" s="200"/>
      <c r="B164" s="200"/>
      <c r="C164" s="200"/>
      <c r="D164" s="200"/>
      <c r="E164" s="200"/>
      <c r="F164" s="200"/>
      <c r="G164" s="200"/>
      <c r="H164" s="200"/>
      <c r="I164" s="200"/>
    </row>
    <row r="165" spans="1:9" ht="15" customHeight="1">
      <c r="A165" s="200"/>
      <c r="B165" s="200"/>
      <c r="C165" s="200"/>
      <c r="D165" s="200"/>
      <c r="E165" s="200"/>
      <c r="F165" s="200"/>
      <c r="G165" s="200"/>
      <c r="H165" s="200"/>
      <c r="I165" s="200"/>
    </row>
    <row r="166" spans="1:9" ht="15" customHeight="1">
      <c r="A166" s="200"/>
      <c r="B166" s="200"/>
      <c r="C166" s="200"/>
      <c r="D166" s="200"/>
      <c r="E166" s="200"/>
      <c r="F166" s="200"/>
      <c r="G166" s="200"/>
      <c r="H166" s="200"/>
      <c r="I166" s="200"/>
    </row>
    <row r="167" spans="1:9" ht="15" customHeight="1">
      <c r="A167" s="200"/>
      <c r="B167" s="200"/>
      <c r="C167" s="200"/>
      <c r="D167" s="200"/>
      <c r="E167" s="200"/>
      <c r="F167" s="200"/>
      <c r="G167" s="200"/>
      <c r="H167" s="200"/>
      <c r="I167" s="200"/>
    </row>
    <row r="168" spans="1:9" ht="15" customHeight="1">
      <c r="A168" s="200"/>
      <c r="B168" s="200"/>
      <c r="C168" s="200"/>
      <c r="D168" s="200"/>
      <c r="E168" s="200"/>
      <c r="F168" s="200"/>
      <c r="G168" s="200"/>
      <c r="H168" s="200"/>
      <c r="I168" s="200"/>
    </row>
    <row r="169" spans="1:9" ht="15" customHeight="1">
      <c r="A169" s="200"/>
      <c r="B169" s="200"/>
      <c r="C169" s="200"/>
      <c r="D169" s="200"/>
      <c r="E169" s="200"/>
      <c r="F169" s="200"/>
      <c r="G169" s="200"/>
      <c r="H169" s="200"/>
      <c r="I169" s="200"/>
    </row>
    <row r="170" spans="1:9" ht="15" customHeight="1">
      <c r="A170" s="200"/>
      <c r="B170" s="200"/>
      <c r="C170" s="200"/>
      <c r="D170" s="200"/>
      <c r="E170" s="200"/>
      <c r="F170" s="200"/>
      <c r="G170" s="200"/>
      <c r="H170" s="200"/>
      <c r="I170" s="200"/>
    </row>
    <row r="171" spans="1:9" ht="15" customHeight="1">
      <c r="A171" s="200"/>
      <c r="B171" s="200"/>
      <c r="C171" s="200"/>
      <c r="D171" s="200"/>
      <c r="E171" s="200"/>
      <c r="F171" s="200"/>
      <c r="G171" s="200"/>
      <c r="H171" s="200"/>
      <c r="I171" s="200"/>
    </row>
    <row r="172" spans="1:9" ht="15" customHeight="1">
      <c r="A172" s="200"/>
      <c r="B172" s="200"/>
      <c r="C172" s="200"/>
      <c r="D172" s="200"/>
      <c r="E172" s="200"/>
      <c r="F172" s="200"/>
      <c r="G172" s="200"/>
      <c r="H172" s="200"/>
      <c r="I172" s="200"/>
    </row>
    <row r="173" spans="1:9" ht="15" customHeight="1">
      <c r="A173" s="200"/>
      <c r="B173" s="200"/>
      <c r="C173" s="200"/>
      <c r="D173" s="200"/>
      <c r="E173" s="200"/>
      <c r="F173" s="200"/>
      <c r="G173" s="200"/>
      <c r="H173" s="200"/>
      <c r="I173" s="200"/>
    </row>
    <row r="174" spans="1:9" ht="15" customHeight="1">
      <c r="A174" s="200"/>
      <c r="B174" s="200"/>
      <c r="C174" s="200"/>
      <c r="D174" s="200"/>
      <c r="E174" s="200"/>
      <c r="F174" s="200"/>
      <c r="G174" s="200"/>
      <c r="H174" s="200"/>
      <c r="I174" s="200"/>
    </row>
    <row r="175" spans="1:9" ht="15" customHeight="1">
      <c r="A175" s="200"/>
      <c r="B175" s="200"/>
      <c r="C175" s="200"/>
      <c r="D175" s="200"/>
      <c r="E175" s="200"/>
      <c r="F175" s="200"/>
      <c r="G175" s="200"/>
      <c r="H175" s="200"/>
      <c r="I175" s="200"/>
    </row>
    <row r="176" spans="1:9" ht="15" customHeight="1">
      <c r="A176" s="200"/>
      <c r="B176" s="200"/>
      <c r="C176" s="200"/>
      <c r="D176" s="200"/>
      <c r="E176" s="200"/>
      <c r="F176" s="200"/>
      <c r="G176" s="200"/>
      <c r="H176" s="200"/>
      <c r="I176" s="200"/>
    </row>
    <row r="177" spans="1:9" ht="15" customHeight="1">
      <c r="A177" s="200"/>
      <c r="B177" s="200"/>
      <c r="C177" s="200"/>
      <c r="D177" s="200"/>
      <c r="E177" s="200"/>
      <c r="F177" s="200"/>
      <c r="G177" s="200"/>
      <c r="H177" s="200"/>
      <c r="I177" s="200"/>
    </row>
    <row r="178" spans="1:9" ht="15" customHeight="1">
      <c r="A178" s="200"/>
      <c r="B178" s="200"/>
      <c r="C178" s="200"/>
      <c r="D178" s="200"/>
      <c r="E178" s="200"/>
      <c r="F178" s="200"/>
      <c r="G178" s="200"/>
      <c r="H178" s="200"/>
      <c r="I178" s="200"/>
    </row>
    <row r="179" spans="1:9" ht="15" customHeight="1">
      <c r="A179" s="200"/>
      <c r="B179" s="200"/>
      <c r="C179" s="200"/>
      <c r="D179" s="200"/>
      <c r="E179" s="200"/>
      <c r="F179" s="200"/>
      <c r="G179" s="200"/>
      <c r="H179" s="200"/>
      <c r="I179" s="200"/>
    </row>
    <row r="180" spans="1:9" ht="15" customHeight="1">
      <c r="A180" s="200"/>
      <c r="B180" s="200"/>
      <c r="C180" s="200"/>
      <c r="D180" s="200"/>
      <c r="E180" s="200"/>
      <c r="F180" s="200"/>
      <c r="G180" s="200"/>
      <c r="H180" s="200"/>
      <c r="I180" s="200"/>
    </row>
    <row r="181" spans="1:9" ht="15" customHeight="1">
      <c r="A181" s="200"/>
      <c r="B181" s="200"/>
      <c r="C181" s="200"/>
      <c r="D181" s="200"/>
      <c r="E181" s="200"/>
      <c r="F181" s="200"/>
      <c r="G181" s="200"/>
      <c r="H181" s="200"/>
      <c r="I181" s="200"/>
    </row>
    <row r="182" spans="1:9" ht="15" customHeight="1">
      <c r="A182" s="200"/>
      <c r="B182" s="200"/>
      <c r="C182" s="200"/>
      <c r="D182" s="200"/>
      <c r="E182" s="200"/>
      <c r="F182" s="200"/>
      <c r="G182" s="200"/>
      <c r="H182" s="200"/>
      <c r="I182" s="200"/>
    </row>
    <row r="183" spans="1:9" ht="15" customHeight="1">
      <c r="A183" s="200"/>
      <c r="B183" s="200"/>
      <c r="C183" s="200"/>
      <c r="D183" s="200"/>
      <c r="E183" s="200"/>
      <c r="F183" s="200"/>
      <c r="G183" s="200"/>
      <c r="H183" s="200"/>
      <c r="I183" s="200"/>
    </row>
    <row r="184" spans="1:9" ht="15" customHeight="1">
      <c r="A184" s="200"/>
      <c r="B184" s="200"/>
      <c r="C184" s="200"/>
      <c r="D184" s="200"/>
      <c r="E184" s="200"/>
      <c r="F184" s="200"/>
      <c r="G184" s="200"/>
      <c r="H184" s="200"/>
      <c r="I184" s="200"/>
    </row>
    <row r="185" spans="1:9" ht="15" customHeight="1">
      <c r="A185" s="200"/>
      <c r="B185" s="200"/>
      <c r="C185" s="200"/>
      <c r="D185" s="200"/>
      <c r="E185" s="200"/>
      <c r="F185" s="200"/>
      <c r="G185" s="200"/>
      <c r="H185" s="200"/>
      <c r="I185" s="200"/>
    </row>
    <row r="186" spans="1:9" ht="15" customHeight="1">
      <c r="A186" s="200"/>
      <c r="B186" s="200"/>
      <c r="C186" s="200"/>
      <c r="D186" s="200"/>
      <c r="E186" s="200"/>
      <c r="F186" s="200"/>
      <c r="G186" s="200"/>
      <c r="H186" s="200"/>
      <c r="I186" s="200"/>
    </row>
    <row r="187" spans="1:9" ht="15" customHeight="1">
      <c r="A187" s="200"/>
      <c r="B187" s="200"/>
      <c r="C187" s="200"/>
      <c r="D187" s="200"/>
      <c r="E187" s="200"/>
      <c r="F187" s="200"/>
      <c r="G187" s="200"/>
      <c r="H187" s="200"/>
      <c r="I187" s="200"/>
    </row>
    <row r="188" spans="1:9" ht="15" customHeight="1">
      <c r="A188" s="200"/>
      <c r="B188" s="200"/>
      <c r="C188" s="200"/>
      <c r="D188" s="200"/>
      <c r="E188" s="200"/>
      <c r="F188" s="200"/>
      <c r="G188" s="200"/>
      <c r="H188" s="200"/>
      <c r="I188" s="200"/>
    </row>
    <row r="189" spans="1:9" ht="15" customHeight="1">
      <c r="A189" s="200"/>
      <c r="B189" s="200"/>
      <c r="C189" s="200"/>
      <c r="D189" s="200"/>
      <c r="E189" s="200"/>
      <c r="F189" s="200"/>
      <c r="G189" s="200"/>
      <c r="H189" s="200"/>
      <c r="I189" s="200"/>
    </row>
    <row r="190" spans="1:9" ht="15" customHeight="1">
      <c r="A190" s="200"/>
      <c r="B190" s="200"/>
      <c r="C190" s="200"/>
      <c r="D190" s="200"/>
      <c r="E190" s="200"/>
      <c r="F190" s="200"/>
      <c r="G190" s="200"/>
      <c r="H190" s="200"/>
      <c r="I190" s="200"/>
    </row>
    <row r="191" spans="1:9" ht="15" customHeight="1">
      <c r="A191" s="200"/>
      <c r="B191" s="200"/>
      <c r="C191" s="200"/>
      <c r="D191" s="200"/>
      <c r="E191" s="200"/>
      <c r="F191" s="200"/>
      <c r="G191" s="200"/>
      <c r="H191" s="200"/>
      <c r="I191" s="200"/>
    </row>
    <row r="192" spans="1:9" ht="15" customHeight="1">
      <c r="A192" s="200"/>
      <c r="B192" s="200"/>
      <c r="C192" s="200"/>
      <c r="D192" s="200"/>
      <c r="E192" s="200"/>
      <c r="F192" s="200"/>
      <c r="G192" s="200"/>
      <c r="H192" s="200"/>
      <c r="I192" s="200"/>
    </row>
    <row r="193" spans="1:9" ht="15" customHeight="1">
      <c r="A193" s="200"/>
      <c r="B193" s="200"/>
      <c r="C193" s="200"/>
      <c r="D193" s="200"/>
      <c r="E193" s="200"/>
      <c r="F193" s="200"/>
      <c r="G193" s="200"/>
      <c r="H193" s="200"/>
      <c r="I193" s="200"/>
    </row>
    <row r="194" spans="1:9" ht="15" customHeight="1">
      <c r="A194" s="200"/>
      <c r="B194" s="200"/>
      <c r="C194" s="200"/>
      <c r="D194" s="200"/>
      <c r="E194" s="200"/>
      <c r="F194" s="200"/>
      <c r="G194" s="200"/>
      <c r="H194" s="200"/>
      <c r="I194" s="200"/>
    </row>
    <row r="195" spans="1:9" ht="15" customHeight="1">
      <c r="A195" s="200"/>
      <c r="B195" s="200"/>
      <c r="C195" s="200"/>
      <c r="D195" s="200"/>
      <c r="E195" s="200"/>
      <c r="F195" s="200"/>
      <c r="G195" s="200"/>
      <c r="H195" s="200"/>
      <c r="I195" s="200"/>
    </row>
    <row r="196" spans="1:9" ht="15" customHeight="1">
      <c r="A196" s="200"/>
      <c r="B196" s="200"/>
      <c r="C196" s="200"/>
      <c r="D196" s="200"/>
      <c r="E196" s="200"/>
      <c r="F196" s="200"/>
      <c r="G196" s="200"/>
      <c r="H196" s="200"/>
      <c r="I196" s="200"/>
    </row>
    <row r="197" spans="1:9" ht="15" customHeight="1">
      <c r="A197" s="200"/>
      <c r="B197" s="200"/>
      <c r="C197" s="200"/>
      <c r="D197" s="200"/>
      <c r="E197" s="200"/>
      <c r="F197" s="200"/>
      <c r="G197" s="200"/>
      <c r="H197" s="200"/>
      <c r="I197" s="200"/>
    </row>
    <row r="198" spans="1:9" ht="15" customHeight="1">
      <c r="A198" s="200"/>
      <c r="B198" s="200"/>
      <c r="C198" s="200"/>
      <c r="D198" s="200"/>
      <c r="E198" s="200"/>
      <c r="F198" s="200"/>
      <c r="G198" s="200"/>
      <c r="H198" s="200"/>
      <c r="I198" s="200"/>
    </row>
    <row r="199" spans="1:9" ht="15" customHeight="1">
      <c r="A199" s="200"/>
      <c r="B199" s="200"/>
      <c r="C199" s="200"/>
      <c r="D199" s="200"/>
      <c r="E199" s="200"/>
      <c r="F199" s="200"/>
      <c r="G199" s="200"/>
      <c r="H199" s="200"/>
      <c r="I199" s="200"/>
    </row>
    <row r="200" spans="1:9" ht="15" customHeight="1">
      <c r="A200" s="200"/>
      <c r="B200" s="200"/>
      <c r="C200" s="200"/>
      <c r="D200" s="200"/>
      <c r="E200" s="200"/>
      <c r="F200" s="200"/>
      <c r="G200" s="200"/>
      <c r="H200" s="200"/>
      <c r="I200" s="200"/>
    </row>
    <row r="201" spans="1:9" ht="15" customHeight="1">
      <c r="A201" s="200"/>
      <c r="B201" s="200"/>
      <c r="C201" s="200"/>
      <c r="D201" s="200"/>
      <c r="E201" s="200"/>
      <c r="F201" s="200"/>
      <c r="G201" s="200"/>
      <c r="H201" s="200"/>
      <c r="I201" s="200"/>
    </row>
    <row r="202" spans="1:9" ht="15" customHeight="1">
      <c r="A202" s="200"/>
      <c r="B202" s="200"/>
      <c r="C202" s="200"/>
      <c r="D202" s="200"/>
      <c r="E202" s="200"/>
      <c r="F202" s="200"/>
      <c r="G202" s="200"/>
      <c r="H202" s="200"/>
      <c r="I202" s="200"/>
    </row>
    <row r="203" spans="1:9" ht="15" customHeight="1">
      <c r="A203" s="200"/>
      <c r="B203" s="200"/>
      <c r="C203" s="200"/>
      <c r="D203" s="200"/>
      <c r="E203" s="200"/>
      <c r="F203" s="200"/>
      <c r="G203" s="200"/>
      <c r="H203" s="200"/>
      <c r="I203" s="200"/>
    </row>
    <row r="204" spans="1:9" ht="15" customHeight="1">
      <c r="A204" s="200"/>
      <c r="B204" s="200"/>
      <c r="C204" s="200"/>
      <c r="D204" s="200"/>
      <c r="E204" s="200"/>
      <c r="F204" s="200"/>
      <c r="G204" s="200"/>
      <c r="H204" s="200"/>
      <c r="I204" s="200"/>
    </row>
    <row r="205" spans="1:9" ht="15" customHeight="1">
      <c r="A205" s="200"/>
      <c r="B205" s="200"/>
      <c r="C205" s="200"/>
      <c r="D205" s="200"/>
      <c r="E205" s="200"/>
      <c r="F205" s="200"/>
      <c r="G205" s="200"/>
      <c r="H205" s="200"/>
      <c r="I205" s="200"/>
    </row>
    <row r="206" spans="1:9" ht="15" customHeight="1">
      <c r="A206" s="200"/>
      <c r="B206" s="200"/>
      <c r="C206" s="200"/>
      <c r="D206" s="200"/>
      <c r="E206" s="200"/>
      <c r="F206" s="200"/>
      <c r="G206" s="200"/>
      <c r="H206" s="200"/>
      <c r="I206" s="200"/>
    </row>
    <row r="207" spans="1:9" ht="15" customHeight="1">
      <c r="A207" s="200"/>
      <c r="B207" s="200"/>
      <c r="C207" s="200"/>
      <c r="D207" s="200"/>
      <c r="E207" s="200"/>
      <c r="F207" s="200"/>
      <c r="G207" s="200"/>
      <c r="H207" s="200"/>
      <c r="I207" s="200"/>
    </row>
    <row r="208" spans="1:9" ht="15" customHeight="1">
      <c r="A208" s="200"/>
      <c r="B208" s="200"/>
      <c r="C208" s="200"/>
      <c r="D208" s="200"/>
      <c r="E208" s="200"/>
      <c r="F208" s="200"/>
      <c r="G208" s="200"/>
      <c r="H208" s="200"/>
      <c r="I208" s="200"/>
    </row>
    <row r="209" spans="1:9" ht="15" customHeight="1">
      <c r="A209" s="200"/>
      <c r="B209" s="200"/>
      <c r="C209" s="200"/>
      <c r="D209" s="200"/>
      <c r="E209" s="200"/>
      <c r="F209" s="200"/>
      <c r="G209" s="200"/>
      <c r="H209" s="200"/>
      <c r="I209" s="200"/>
    </row>
    <row r="210" spans="1:9" ht="15" customHeight="1">
      <c r="A210" s="200"/>
      <c r="B210" s="200"/>
      <c r="C210" s="200"/>
      <c r="D210" s="200"/>
      <c r="E210" s="200"/>
      <c r="F210" s="200"/>
      <c r="G210" s="200"/>
      <c r="H210" s="200"/>
      <c r="I210" s="200"/>
    </row>
    <row r="211" spans="1:9" ht="15" customHeight="1">
      <c r="A211" s="200"/>
      <c r="B211" s="200"/>
      <c r="C211" s="200"/>
      <c r="D211" s="200"/>
      <c r="E211" s="200"/>
      <c r="F211" s="200"/>
      <c r="G211" s="200"/>
      <c r="H211" s="200"/>
      <c r="I211" s="200"/>
    </row>
    <row r="212" spans="1:9" ht="15" customHeight="1">
      <c r="A212" s="200"/>
      <c r="B212" s="200"/>
      <c r="C212" s="200"/>
      <c r="D212" s="200"/>
      <c r="E212" s="200"/>
      <c r="F212" s="200"/>
      <c r="G212" s="200"/>
      <c r="H212" s="200"/>
      <c r="I212" s="200"/>
    </row>
    <row r="213" spans="1:9" ht="15" customHeight="1">
      <c r="A213" s="200"/>
      <c r="B213" s="200"/>
      <c r="C213" s="200"/>
      <c r="D213" s="200"/>
      <c r="E213" s="200"/>
      <c r="F213" s="200"/>
      <c r="G213" s="200"/>
      <c r="H213" s="200"/>
      <c r="I213" s="200"/>
    </row>
    <row r="214" spans="1:9" ht="15" customHeight="1">
      <c r="A214" s="200"/>
      <c r="B214" s="200"/>
      <c r="C214" s="200"/>
      <c r="D214" s="200"/>
      <c r="E214" s="200"/>
      <c r="F214" s="200"/>
      <c r="G214" s="200"/>
      <c r="H214" s="200"/>
      <c r="I214" s="200"/>
    </row>
    <row r="215" spans="1:9" ht="15" customHeight="1">
      <c r="A215" s="200"/>
      <c r="B215" s="200"/>
      <c r="C215" s="200"/>
      <c r="D215" s="200"/>
      <c r="E215" s="200"/>
      <c r="F215" s="200"/>
      <c r="G215" s="200"/>
      <c r="H215" s="200"/>
      <c r="I215" s="200"/>
    </row>
    <row r="216" spans="1:9" ht="15" customHeight="1">
      <c r="A216" s="200"/>
      <c r="B216" s="200"/>
      <c r="C216" s="200"/>
      <c r="D216" s="200"/>
      <c r="E216" s="200"/>
      <c r="F216" s="200"/>
      <c r="G216" s="200"/>
      <c r="H216" s="200"/>
      <c r="I216" s="200"/>
    </row>
    <row r="217" spans="1:9" ht="15" customHeight="1">
      <c r="A217" s="200"/>
      <c r="B217" s="200"/>
      <c r="C217" s="200"/>
      <c r="D217" s="200"/>
      <c r="E217" s="200"/>
      <c r="F217" s="200"/>
      <c r="G217" s="200"/>
      <c r="H217" s="200"/>
      <c r="I217" s="200"/>
    </row>
    <row r="218" spans="1:9" ht="15" customHeight="1">
      <c r="A218" s="200"/>
      <c r="B218" s="200"/>
      <c r="C218" s="200"/>
      <c r="D218" s="200"/>
      <c r="E218" s="200"/>
      <c r="F218" s="200"/>
      <c r="G218" s="200"/>
      <c r="H218" s="200"/>
      <c r="I218" s="200"/>
    </row>
    <row r="219" spans="1:9" ht="15" customHeight="1">
      <c r="A219" s="200"/>
      <c r="B219" s="200"/>
      <c r="C219" s="200"/>
      <c r="D219" s="200"/>
      <c r="E219" s="200"/>
      <c r="F219" s="200"/>
      <c r="G219" s="200"/>
      <c r="H219" s="200"/>
      <c r="I219" s="200"/>
    </row>
    <row r="220" spans="1:9" ht="15" customHeight="1">
      <c r="A220" s="200"/>
      <c r="B220" s="200"/>
      <c r="C220" s="200"/>
      <c r="D220" s="200"/>
      <c r="E220" s="200"/>
      <c r="F220" s="200"/>
      <c r="G220" s="200"/>
      <c r="H220" s="200"/>
      <c r="I220" s="200"/>
    </row>
    <row r="221" spans="1:9" ht="15" customHeight="1">
      <c r="A221" s="200"/>
      <c r="B221" s="200"/>
      <c r="C221" s="200"/>
      <c r="D221" s="200"/>
      <c r="E221" s="200"/>
      <c r="F221" s="200"/>
      <c r="G221" s="200"/>
      <c r="H221" s="200"/>
      <c r="I221" s="200"/>
    </row>
    <row r="222" ht="15" customHeight="1">
      <c r="A222" s="37"/>
    </row>
  </sheetData>
  <mergeCells count="68">
    <mergeCell ref="A90:I91"/>
    <mergeCell ref="A92:I93"/>
    <mergeCell ref="A77:I79"/>
    <mergeCell ref="A80:I82"/>
    <mergeCell ref="A83:I85"/>
    <mergeCell ref="A86:I88"/>
    <mergeCell ref="A64:I66"/>
    <mergeCell ref="A67:I72"/>
    <mergeCell ref="A73:I76"/>
    <mergeCell ref="A89:I89"/>
    <mergeCell ref="A55:I60"/>
    <mergeCell ref="A45:I46"/>
    <mergeCell ref="A47:I49"/>
    <mergeCell ref="A61:I63"/>
    <mergeCell ref="A39:I40"/>
    <mergeCell ref="A27:I27"/>
    <mergeCell ref="A50:I52"/>
    <mergeCell ref="A53:I54"/>
    <mergeCell ref="A19:I21"/>
    <mergeCell ref="A22:I26"/>
    <mergeCell ref="A28:I33"/>
    <mergeCell ref="A34:I38"/>
    <mergeCell ref="A167:I168"/>
    <mergeCell ref="A169:I171"/>
    <mergeCell ref="A172:I173"/>
    <mergeCell ref="A5:I8"/>
    <mergeCell ref="A9:I10"/>
    <mergeCell ref="A41:I42"/>
    <mergeCell ref="A43:I44"/>
    <mergeCell ref="A11:I12"/>
    <mergeCell ref="A13:I15"/>
    <mergeCell ref="A16:I18"/>
    <mergeCell ref="A115:I120"/>
    <mergeCell ref="A121:I123"/>
    <mergeCell ref="A157:I160"/>
    <mergeCell ref="A219:I221"/>
    <mergeCell ref="A124:I127"/>
    <mergeCell ref="A128:I129"/>
    <mergeCell ref="A130:I132"/>
    <mergeCell ref="A133:I136"/>
    <mergeCell ref="A161:I164"/>
    <mergeCell ref="A165:I166"/>
    <mergeCell ref="A145:I147"/>
    <mergeCell ref="A148:I151"/>
    <mergeCell ref="A152:I156"/>
    <mergeCell ref="A137:I142"/>
    <mergeCell ref="A143:I144"/>
    <mergeCell ref="A96:I96"/>
    <mergeCell ref="A97:I99"/>
    <mergeCell ref="A100:I104"/>
    <mergeCell ref="A114:I114"/>
    <mergeCell ref="A105:I107"/>
    <mergeCell ref="A108:I110"/>
    <mergeCell ref="A111:I113"/>
    <mergeCell ref="A174:I175"/>
    <mergeCell ref="A176:I180"/>
    <mergeCell ref="A181:I184"/>
    <mergeCell ref="A185:I188"/>
    <mergeCell ref="A210:I212"/>
    <mergeCell ref="A213:I215"/>
    <mergeCell ref="A216:I218"/>
    <mergeCell ref="A189:I190"/>
    <mergeCell ref="A191:I192"/>
    <mergeCell ref="A193:I197"/>
    <mergeCell ref="A209:I209"/>
    <mergeCell ref="A198:I203"/>
    <mergeCell ref="A207:I208"/>
    <mergeCell ref="A204:I206"/>
  </mergeCells>
  <printOptions/>
  <pageMargins left="0.75" right="0.75" top="0.73" bottom="1" header="0.5" footer="0.5"/>
  <pageSetup horizontalDpi="600" verticalDpi="600" orientation="portrait" paperSize="9" r:id="rId2"/>
  <headerFooter alignWithMargins="0">
    <oddFooter>&amp;C&amp;P</oddFooter>
  </headerFooter>
  <rowBreaks count="1" manualBreakCount="1">
    <brk id="4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VIRIDALIA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ALLEANO</dc:creator>
  <cp:keywords/>
  <dc:description/>
  <cp:lastModifiedBy>Anffas</cp:lastModifiedBy>
  <cp:lastPrinted>2003-05-21T08:16:08Z</cp:lastPrinted>
  <dcterms:created xsi:type="dcterms:W3CDTF">2002-03-18T19:49:54Z</dcterms:created>
  <dcterms:modified xsi:type="dcterms:W3CDTF">2003-05-08T21:42:28Z</dcterms:modified>
  <cp:category/>
  <cp:version/>
  <cp:contentType/>
  <cp:contentStatus/>
</cp:coreProperties>
</file>