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esempio" sheetId="1" r:id="rId1"/>
    <sheet name="immobiliare" sheetId="2" r:id="rId2"/>
  </sheets>
  <externalReferences>
    <externalReference r:id="rId5"/>
    <externalReference r:id="rId6"/>
  </externalReferences>
  <definedNames>
    <definedName name="CriteriValBilImm">'[1]Interrogazioni'!#REF!</definedName>
    <definedName name="matrice_righe" localSheetId="1">{"CAUSALE",0,"Auto","Auto","";"SOTTOCONTO",0,"Auto","Auto","";"DESCRIZIONE",0,"Auto","Auto",""}</definedName>
    <definedName name="matrice_righe">{"CAUSALE",0,"Auto","Auto","";"SOTTOCONTO",0,"Auto","Auto","";"DESCRIZIONE",0,"Auto","Auto",""}</definedName>
    <definedName name="matrice_valori" localSheetId="1">{"AMMORTAMENTO","SOMMA(AMMORTAMENTO)","SNNNN",FALSE}</definedName>
    <definedName name="matrice_valori">{"AMMORTAMENTO","SOMMA(AMMORTAMENTO)","SNNNN",FALSE}</definedName>
    <definedName name="Tabella_2">'[2]Spese manutenzione'!#REF!</definedName>
  </definedNames>
  <calcPr fullCalcOnLoad="1"/>
</workbook>
</file>

<file path=xl/sharedStrings.xml><?xml version="1.0" encoding="utf-8"?>
<sst xmlns="http://schemas.openxmlformats.org/spreadsheetml/2006/main" count="221" uniqueCount="80">
  <si>
    <t>Dati del contratto</t>
  </si>
  <si>
    <t>Costo in capo al concedente</t>
  </si>
  <si>
    <t>Canoni posticipati trim.</t>
  </si>
  <si>
    <t>Canoni anticipati</t>
  </si>
  <si>
    <t>data</t>
  </si>
  <si>
    <t>Imp.</t>
  </si>
  <si>
    <t>Spese contratto</t>
  </si>
  <si>
    <t>Riscatto</t>
  </si>
  <si>
    <t>Costo totale</t>
  </si>
  <si>
    <t>Date</t>
  </si>
  <si>
    <t>N° canoni</t>
  </si>
  <si>
    <t>Giorni</t>
  </si>
  <si>
    <t xml:space="preserve"> </t>
  </si>
  <si>
    <t>36 x 1500</t>
  </si>
  <si>
    <t xml:space="preserve"> 4.03.00</t>
  </si>
  <si>
    <t xml:space="preserve"> 31.03.03</t>
  </si>
  <si>
    <t>=</t>
  </si>
  <si>
    <t>Leasing</t>
  </si>
  <si>
    <t>Impianti</t>
  </si>
  <si>
    <t>a</t>
  </si>
  <si>
    <t>Diversi</t>
  </si>
  <si>
    <t>-</t>
  </si>
  <si>
    <t>Ammort. impianti</t>
  </si>
  <si>
    <t>Fondo ammort. imp.</t>
  </si>
  <si>
    <t>Finanziam.c/leasing</t>
  </si>
  <si>
    <t>S</t>
  </si>
  <si>
    <t>k=1</t>
  </si>
  <si>
    <r>
      <t>(1+r)</t>
    </r>
    <r>
      <rPr>
        <vertAlign val="superscript"/>
        <sz val="10"/>
        <rFont val="Arial"/>
        <family val="2"/>
      </rPr>
      <t>k</t>
    </r>
  </si>
  <si>
    <r>
      <t>(1+r)</t>
    </r>
    <r>
      <rPr>
        <vertAlign val="superscript"/>
        <sz val="10"/>
        <rFont val="Arial"/>
        <family val="2"/>
      </rPr>
      <t>37</t>
    </r>
  </si>
  <si>
    <t>r =</t>
  </si>
  <si>
    <t>rata</t>
  </si>
  <si>
    <t>periodo</t>
  </si>
  <si>
    <t>interessi</t>
  </si>
  <si>
    <t>capitale</t>
  </si>
  <si>
    <t>residuo</t>
  </si>
  <si>
    <t>Deb/fornitori</t>
  </si>
  <si>
    <t>Finanziam. c/leasing</t>
  </si>
  <si>
    <t>Iva su acq.</t>
  </si>
  <si>
    <t>Interessi leasing</t>
  </si>
  <si>
    <t>+</t>
  </si>
  <si>
    <t>---------</t>
  </si>
  <si>
    <t>--------</t>
  </si>
  <si>
    <t xml:space="preserve">Costo al 31.12.00 =             57.300      x -------- = </t>
  </si>
  <si>
    <t xml:space="preserve">Costo al 31.12.02 =             57.300       x ------- = </t>
  </si>
  <si>
    <t xml:space="preserve">Costo al 31.03.03 =             57.300       x ------- = </t>
  </si>
  <si>
    <t xml:space="preserve">Costo al 31.12.01 =             57.300      x -------- = </t>
  </si>
  <si>
    <t>equivalente</t>
  </si>
  <si>
    <t>Metodo finanziario</t>
  </si>
  <si>
    <t>Metodo patrimoniale</t>
  </si>
  <si>
    <t>Debiti v/fornitori</t>
  </si>
  <si>
    <t>Canoni leasing</t>
  </si>
  <si>
    <t>Rilevazione canoni e spese iniziali</t>
  </si>
  <si>
    <t>Rilevazione canoni ordinari</t>
  </si>
  <si>
    <t>Risconti attivi</t>
  </si>
  <si>
    <t>Canoni di leasing</t>
  </si>
  <si>
    <t>Assestamento competenza</t>
  </si>
  <si>
    <t>Ammort. (33%)</t>
  </si>
  <si>
    <t>Risconto</t>
  </si>
  <si>
    <t>Interessi (IAS 17)</t>
  </si>
  <si>
    <t xml:space="preserve"> 4.03.07</t>
  </si>
  <si>
    <t>Interessi (contratto)</t>
  </si>
  <si>
    <t>20% ind. su terreno</t>
  </si>
  <si>
    <t>Canoni posticipati mensili</t>
  </si>
  <si>
    <t>3% = 33 anni</t>
  </si>
  <si>
    <t>2/3 di 33 =  22 &gt; 18</t>
  </si>
  <si>
    <t>si applica il periodo minimo di 18 anni</t>
  </si>
  <si>
    <t>72 x 1500</t>
  </si>
  <si>
    <t xml:space="preserve"> 31.03.25</t>
  </si>
  <si>
    <t>Data inizio contratto</t>
  </si>
  <si>
    <t>Data fine contratto</t>
  </si>
  <si>
    <t>n. giorni durata</t>
  </si>
  <si>
    <t xml:space="preserve">Costo al 31.12.07 =             111.300      x -------- = </t>
  </si>
  <si>
    <t xml:space="preserve">Costo al 31.12.08 =             111.300      x -------- = </t>
  </si>
  <si>
    <t xml:space="preserve"> …. </t>
  </si>
  <si>
    <t xml:space="preserve">Costo al 31.03.25 =             111.300       x ------- = </t>
  </si>
  <si>
    <t xml:space="preserve"> … </t>
  </si>
  <si>
    <t>Ammort. (5,56%)</t>
  </si>
  <si>
    <t>prima rata trim.</t>
  </si>
  <si>
    <r>
      <t>(1+r)</t>
    </r>
    <r>
      <rPr>
        <vertAlign val="superscript"/>
        <sz val="10"/>
        <rFont val="Arial"/>
        <family val="2"/>
      </rPr>
      <t>72</t>
    </r>
  </si>
  <si>
    <t>20% ind. su interessi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</si>
</sst>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:m:yy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\ \.#\ \.#\ \.#"/>
    <numFmt numFmtId="179" formatCode="#\ \.#\ \.#"/>
    <numFmt numFmtId="180" formatCode="\L\.\ #,##0;[Red]\-\L\.\ #,##0"/>
    <numFmt numFmtId="181" formatCode="0.000%"/>
    <numFmt numFmtId="182" formatCode="0.0000%"/>
    <numFmt numFmtId="183" formatCode="0.00000%"/>
    <numFmt numFmtId="184" formatCode="0.000000%"/>
    <numFmt numFmtId="185" formatCode="0.0%"/>
    <numFmt numFmtId="186" formatCode="0.0"/>
    <numFmt numFmtId="187" formatCode="&quot;L.&quot;\ #,##0.0;[Red]\-&quot;L.&quot;\ #,##0.0"/>
    <numFmt numFmtId="188" formatCode="#,##0.0;[Red]\-#,##0.0"/>
    <numFmt numFmtId="189" formatCode=";;;"/>
    <numFmt numFmtId="190" formatCode="\ #,##0;\-\ #,##0"/>
    <numFmt numFmtId="191" formatCode="\ #,##0;[Red]\-\ #,##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_-* #,##0.0_-;\-* #,##0.0_-;_-* &quot;-&quot;_-;_-@_-"/>
    <numFmt numFmtId="196" formatCode="_-* #,##0.00_-;\-* #,##0.00_-;_-* &quot;-&quot;_-;_-@_-"/>
    <numFmt numFmtId="197" formatCode="#,##0.00_ ;\-#,##0.00\ "/>
    <numFmt numFmtId="198" formatCode="#,##0_ ;\-#,##0\ "/>
    <numFmt numFmtId="199" formatCode="#,##0.0"/>
    <numFmt numFmtId="200" formatCode="#,##0.0_ ;\-#,##0.0\ "/>
    <numFmt numFmtId="201" formatCode="0.000"/>
    <numFmt numFmtId="202" formatCode="[$-410]dddd\ d\ mmmm\ yyyy"/>
    <numFmt numFmtId="203" formatCode="dd/mm/yy;@"/>
    <numFmt numFmtId="204" formatCode="_-* #,##0.0_-;\-* #,##0.0_-;_-* &quot;-&quot;??_-;_-@_-"/>
    <numFmt numFmtId="20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Symbol"/>
      <family val="1"/>
    </font>
    <font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4" fillId="0" borderId="1" applyFont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1" fontId="0" fillId="0" borderId="4" xfId="17" applyFont="1" applyBorder="1" applyAlignment="1">
      <alignment/>
    </xf>
    <xf numFmtId="41" fontId="0" fillId="0" borderId="5" xfId="17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0" xfId="17" applyFont="1" applyAlignment="1">
      <alignment/>
    </xf>
    <xf numFmtId="0" fontId="0" fillId="0" borderId="0" xfId="0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41" fontId="0" fillId="0" borderId="0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3" fontId="0" fillId="0" borderId="0" xfId="15" applyFont="1" applyAlignment="1">
      <alignment/>
    </xf>
    <xf numFmtId="0" fontId="0" fillId="0" borderId="0" xfId="0" applyFont="1" applyAlignment="1" quotePrefix="1">
      <alignment horizontal="fill"/>
    </xf>
    <xf numFmtId="0" fontId="0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7" fontId="0" fillId="0" borderId="0" xfId="15" applyNumberFormat="1" applyFont="1" applyAlignment="1">
      <alignment/>
    </xf>
    <xf numFmtId="0" fontId="0" fillId="0" borderId="0" xfId="0" applyFont="1" applyBorder="1" applyAlignment="1">
      <alignment horizontal="right"/>
    </xf>
    <xf numFmtId="197" fontId="0" fillId="0" borderId="0" xfId="0" applyNumberFormat="1" applyFont="1" applyAlignment="1">
      <alignment/>
    </xf>
    <xf numFmtId="197" fontId="0" fillId="0" borderId="10" xfId="15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97" fontId="0" fillId="0" borderId="11" xfId="15" applyNumberFormat="1" applyFont="1" applyBorder="1" applyAlignment="1">
      <alignment horizontal="left"/>
    </xf>
    <xf numFmtId="3" fontId="0" fillId="0" borderId="12" xfId="17" applyNumberFormat="1" applyFont="1" applyBorder="1" applyAlignment="1">
      <alignment/>
    </xf>
    <xf numFmtId="3" fontId="0" fillId="0" borderId="13" xfId="17" applyNumberFormat="1" applyFont="1" applyBorder="1" applyAlignment="1">
      <alignment/>
    </xf>
    <xf numFmtId="3" fontId="0" fillId="3" borderId="14" xfId="17" applyNumberFormat="1" applyFont="1" applyFill="1" applyBorder="1" applyAlignment="1">
      <alignment/>
    </xf>
    <xf numFmtId="198" fontId="0" fillId="0" borderId="6" xfId="15" applyNumberFormat="1" applyFont="1" applyBorder="1" applyAlignment="1">
      <alignment/>
    </xf>
    <xf numFmtId="198" fontId="0" fillId="0" borderId="12" xfId="15" applyNumberFormat="1" applyFont="1" applyBorder="1" applyAlignment="1">
      <alignment horizontal="center"/>
    </xf>
    <xf numFmtId="198" fontId="0" fillId="0" borderId="12" xfId="15" applyNumberFormat="1" applyFont="1" applyBorder="1" applyAlignment="1">
      <alignment/>
    </xf>
    <xf numFmtId="198" fontId="0" fillId="3" borderId="14" xfId="15" applyNumberFormat="1" applyFont="1" applyFill="1" applyBorder="1" applyAlignment="1">
      <alignment/>
    </xf>
    <xf numFmtId="197" fontId="0" fillId="0" borderId="6" xfId="15" applyNumberFormat="1" applyFont="1" applyBorder="1" applyAlignment="1">
      <alignment/>
    </xf>
    <xf numFmtId="197" fontId="0" fillId="0" borderId="12" xfId="15" applyNumberFormat="1" applyFont="1" applyBorder="1" applyAlignment="1">
      <alignment horizontal="center"/>
    </xf>
    <xf numFmtId="197" fontId="0" fillId="0" borderId="12" xfId="15" applyNumberFormat="1" applyFont="1" applyBorder="1" applyAlignment="1">
      <alignment/>
    </xf>
    <xf numFmtId="197" fontId="0" fillId="3" borderId="14" xfId="15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15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97" fontId="0" fillId="0" borderId="9" xfId="15" applyNumberFormat="1" applyFont="1" applyBorder="1" applyAlignment="1">
      <alignment horizontal="center"/>
    </xf>
    <xf numFmtId="197" fontId="0" fillId="0" borderId="2" xfId="15" applyNumberFormat="1" applyFont="1" applyBorder="1" applyAlignment="1">
      <alignment horizontal="center"/>
    </xf>
    <xf numFmtId="197" fontId="0" fillId="0" borderId="5" xfId="15" applyNumberFormat="1" applyFont="1" applyBorder="1" applyAlignment="1">
      <alignment horizontal="left"/>
    </xf>
    <xf numFmtId="197" fontId="0" fillId="0" borderId="1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left"/>
    </xf>
    <xf numFmtId="10" fontId="0" fillId="0" borderId="0" xfId="18" applyNumberFormat="1" applyFont="1" applyAlignment="1">
      <alignment/>
    </xf>
    <xf numFmtId="0" fontId="2" fillId="0" borderId="0" xfId="0" applyFont="1" applyAlignment="1">
      <alignment/>
    </xf>
    <xf numFmtId="4" fontId="0" fillId="0" borderId="12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98" fontId="0" fillId="0" borderId="0" xfId="15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/>
    </xf>
    <xf numFmtId="205" fontId="0" fillId="0" borderId="0" xfId="15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15" applyNumberFormat="1" applyFont="1" applyFill="1" applyBorder="1" applyAlignment="1">
      <alignment/>
    </xf>
    <xf numFmtId="46" fontId="0" fillId="0" borderId="0" xfId="0" applyNumberFormat="1" applyFont="1" applyBorder="1" applyAlignment="1">
      <alignment horizontal="center"/>
    </xf>
    <xf numFmtId="197" fontId="0" fillId="0" borderId="18" xfId="0" applyNumberFormat="1" applyFont="1" applyBorder="1" applyAlignment="1">
      <alignment/>
    </xf>
    <xf numFmtId="20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98" fontId="0" fillId="0" borderId="0" xfId="0" applyNumberFormat="1" applyFont="1" applyBorder="1" applyAlignment="1">
      <alignment/>
    </xf>
  </cellXfs>
  <cellStyles count="9">
    <cellStyle name="Normal" xfId="0"/>
    <cellStyle name="Comma" xfId="15"/>
    <cellStyle name="Migliaia (0)_Cartel1" xfId="16"/>
    <cellStyle name="Comma [0]" xfId="17"/>
    <cellStyle name="Percent" xfId="18"/>
    <cellStyle name="Tabella" xfId="19"/>
    <cellStyle name="Currency" xfId="20"/>
    <cellStyle name="Valuta (0)_Cartel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Nicola\ditta\DBAMM_TI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1-06-30\Documenti\cegos\6_03_15\spesem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ti Luigi SNC"/>
      <sheetName val="Accademia dei Licini"/>
      <sheetName val="Interrogazioni"/>
      <sheetName val="Stampe"/>
      <sheetName val="Macro per formule"/>
      <sheetName val="Spese manutenzione"/>
      <sheetName val="Elenco cespiti"/>
      <sheetName val="Ammort. 1995"/>
      <sheetName val="Prospetto acq. - cess. e fondi"/>
      <sheetName val="Registro 199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fond"/>
      <sheetName val="Spese manutenzione"/>
      <sheetName val="Riepilog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workbookViewId="0" topLeftCell="A17">
      <selection activeCell="A36" sqref="A36:G66"/>
    </sheetView>
  </sheetViews>
  <sheetFormatPr defaultColWidth="9.140625" defaultRowHeight="12.75"/>
  <cols>
    <col min="1" max="8" width="9.7109375" style="2" customWidth="1"/>
    <col min="9" max="9" width="10.140625" style="2" bestFit="1" customWidth="1"/>
    <col min="10" max="10" width="2.140625" style="2" bestFit="1" customWidth="1"/>
    <col min="11" max="11" width="5.00390625" style="2" bestFit="1" customWidth="1"/>
    <col min="12" max="16384" width="9.140625" style="2" customWidth="1"/>
  </cols>
  <sheetData>
    <row r="1" ht="12.75">
      <c r="A1" s="1"/>
    </row>
    <row r="2" spans="1:6" ht="12.75">
      <c r="A2" s="73" t="s">
        <v>0</v>
      </c>
      <c r="B2" s="74"/>
      <c r="C2" s="74"/>
      <c r="D2" s="74"/>
      <c r="E2" s="74"/>
      <c r="F2" s="75"/>
    </row>
    <row r="3" spans="1:6" ht="12.75">
      <c r="A3" s="3" t="s">
        <v>1</v>
      </c>
      <c r="B3" s="4"/>
      <c r="C3" s="4"/>
      <c r="D3" s="5">
        <v>48000</v>
      </c>
      <c r="E3" s="6"/>
      <c r="F3" s="7"/>
    </row>
    <row r="4" spans="1:7" ht="12.75">
      <c r="A4" s="8" t="s">
        <v>62</v>
      </c>
      <c r="B4" s="9"/>
      <c r="C4" s="9"/>
      <c r="D4" s="9" t="s">
        <v>13</v>
      </c>
      <c r="E4" s="10"/>
      <c r="F4" s="47">
        <f>36*1500</f>
        <v>54000</v>
      </c>
      <c r="G4" s="11"/>
    </row>
    <row r="5" spans="1:7" ht="12.75">
      <c r="A5" s="8" t="s">
        <v>3</v>
      </c>
      <c r="B5" s="9"/>
      <c r="C5" s="12" t="s">
        <v>4</v>
      </c>
      <c r="D5" s="13" t="s">
        <v>14</v>
      </c>
      <c r="E5" s="14" t="s">
        <v>5</v>
      </c>
      <c r="F5" s="47">
        <v>3000</v>
      </c>
      <c r="G5" s="11"/>
    </row>
    <row r="6" spans="1:7" ht="12.75">
      <c r="A6" s="8" t="s">
        <v>6</v>
      </c>
      <c r="B6" s="9"/>
      <c r="C6" s="12" t="s">
        <v>4</v>
      </c>
      <c r="D6" s="13" t="s">
        <v>14</v>
      </c>
      <c r="E6" s="14" t="s">
        <v>5</v>
      </c>
      <c r="F6" s="47">
        <v>300</v>
      </c>
      <c r="G6" s="11"/>
    </row>
    <row r="7" spans="1:7" ht="12.75">
      <c r="A7" s="8" t="s">
        <v>7</v>
      </c>
      <c r="B7" s="15">
        <v>500</v>
      </c>
      <c r="C7" s="12" t="s">
        <v>4</v>
      </c>
      <c r="D7" s="13" t="s">
        <v>15</v>
      </c>
      <c r="E7" s="10"/>
      <c r="F7" s="48"/>
      <c r="G7" s="15"/>
    </row>
    <row r="8" spans="1:7" ht="13.5" thickBot="1">
      <c r="A8" s="16" t="s">
        <v>8</v>
      </c>
      <c r="B8" s="17"/>
      <c r="C8" s="17"/>
      <c r="D8" s="17"/>
      <c r="E8" s="18"/>
      <c r="F8" s="49">
        <f>SUM(F4:F7)</f>
        <v>57300</v>
      </c>
      <c r="G8" s="15"/>
    </row>
    <row r="9" ht="13.5" thickTop="1"/>
    <row r="11" spans="1:10" ht="12.75">
      <c r="A11" s="10" t="s">
        <v>9</v>
      </c>
      <c r="B11" s="19"/>
      <c r="C11" s="20"/>
      <c r="D11" s="19"/>
      <c r="E11" s="20"/>
      <c r="F11" s="19"/>
      <c r="G11" s="20"/>
      <c r="H11" s="19"/>
      <c r="I11" s="20"/>
      <c r="J11" s="21"/>
    </row>
    <row r="12" spans="2:11" ht="12.75">
      <c r="B12" s="22">
        <v>36589</v>
      </c>
      <c r="C12" s="80">
        <v>36891</v>
      </c>
      <c r="D12" s="81"/>
      <c r="E12" s="81">
        <v>37256</v>
      </c>
      <c r="F12" s="81"/>
      <c r="G12" s="81">
        <v>37621</v>
      </c>
      <c r="H12" s="81"/>
      <c r="I12" s="23">
        <v>37680</v>
      </c>
      <c r="J12" s="24"/>
      <c r="K12" s="23"/>
    </row>
    <row r="13" spans="1:11" ht="12.75">
      <c r="A13" s="25" t="s">
        <v>10</v>
      </c>
      <c r="B13" s="76">
        <v>10</v>
      </c>
      <c r="C13" s="77"/>
      <c r="D13" s="76">
        <v>12</v>
      </c>
      <c r="E13" s="77"/>
      <c r="F13" s="76">
        <v>12</v>
      </c>
      <c r="G13" s="82"/>
      <c r="H13" s="82">
        <v>2</v>
      </c>
      <c r="I13" s="77"/>
      <c r="J13" s="31" t="s">
        <v>16</v>
      </c>
      <c r="K13" s="2">
        <f>SUM(B13:J13)</f>
        <v>36</v>
      </c>
    </row>
    <row r="15" spans="1:11" ht="12.75">
      <c r="A15" s="2" t="s">
        <v>11</v>
      </c>
      <c r="B15" s="78">
        <f>C12-B12</f>
        <v>302</v>
      </c>
      <c r="C15" s="79"/>
      <c r="D15" s="78">
        <v>365</v>
      </c>
      <c r="E15" s="79"/>
      <c r="F15" s="76">
        <v>365</v>
      </c>
      <c r="G15" s="77"/>
      <c r="H15" s="78">
        <f>I12-G12</f>
        <v>59</v>
      </c>
      <c r="I15" s="79"/>
      <c r="J15" s="32" t="s">
        <v>16</v>
      </c>
      <c r="K15" s="2">
        <f>SUM(B15:J15)</f>
        <v>1091</v>
      </c>
    </row>
    <row r="16" spans="2:10" ht="12.75">
      <c r="B16" s="33"/>
      <c r="C16" s="33"/>
      <c r="D16" s="33"/>
      <c r="E16" s="33"/>
      <c r="F16" s="12"/>
      <c r="G16" s="12"/>
      <c r="H16" s="12"/>
      <c r="I16" s="12"/>
      <c r="J16" s="32"/>
    </row>
    <row r="17" spans="2:12" ht="25.5">
      <c r="B17" s="33"/>
      <c r="C17" s="33"/>
      <c r="D17" s="33"/>
      <c r="E17" s="33"/>
      <c r="F17" s="34" t="s">
        <v>17</v>
      </c>
      <c r="G17" s="34" t="s">
        <v>57</v>
      </c>
      <c r="H17" s="37" t="s">
        <v>56</v>
      </c>
      <c r="I17" s="37" t="s">
        <v>58</v>
      </c>
      <c r="J17" s="12"/>
      <c r="K17" s="32"/>
      <c r="L17" s="70"/>
    </row>
    <row r="18" spans="2:12" ht="12.75">
      <c r="B18" s="26"/>
      <c r="F18" s="50"/>
      <c r="G18" s="50"/>
      <c r="H18" s="50"/>
      <c r="I18" s="54"/>
      <c r="J18" s="27"/>
      <c r="L18" s="21"/>
    </row>
    <row r="19" spans="4:12" ht="12.75">
      <c r="D19" s="28">
        <v>302</v>
      </c>
      <c r="F19" s="51"/>
      <c r="G19" s="51"/>
      <c r="H19" s="51"/>
      <c r="I19" s="55"/>
      <c r="L19" s="21"/>
    </row>
    <row r="20" spans="1:12" ht="12.75">
      <c r="A20" s="2" t="s">
        <v>42</v>
      </c>
      <c r="F20" s="52">
        <f>$F$8*D19/D21</f>
        <v>15861.228230980752</v>
      </c>
      <c r="G20" s="52">
        <f>F5+F6+B13*1500-F20</f>
        <v>2438.7717690192476</v>
      </c>
      <c r="H20" s="52">
        <f>($D$3)/3*9/12</f>
        <v>12000</v>
      </c>
      <c r="I20" s="56">
        <v>4416.57</v>
      </c>
      <c r="L20" s="21"/>
    </row>
    <row r="21" spans="1:12" ht="12.75">
      <c r="A21" s="2" t="s">
        <v>12</v>
      </c>
      <c r="D21" s="29">
        <f>$K$15</f>
        <v>1091</v>
      </c>
      <c r="F21" s="52"/>
      <c r="G21" s="52"/>
      <c r="H21" s="52"/>
      <c r="I21" s="56"/>
      <c r="L21" s="21"/>
    </row>
    <row r="22" spans="4:12" ht="12.75">
      <c r="D22" s="29"/>
      <c r="F22" s="52"/>
      <c r="G22" s="52"/>
      <c r="H22" s="52"/>
      <c r="I22" s="56"/>
      <c r="L22" s="21"/>
    </row>
    <row r="23" spans="4:12" ht="12.75">
      <c r="D23" s="29">
        <f>G12-E12</f>
        <v>365</v>
      </c>
      <c r="F23" s="52"/>
      <c r="G23" s="52"/>
      <c r="H23" s="52"/>
      <c r="I23" s="56"/>
      <c r="L23" s="21"/>
    </row>
    <row r="24" spans="1:12" ht="12.75">
      <c r="A24" s="2" t="s">
        <v>45</v>
      </c>
      <c r="F24" s="52">
        <f>$F$8*D23/D25</f>
        <v>19170.027497708525</v>
      </c>
      <c r="G24" s="52">
        <f>D13*1500-F24</f>
        <v>-1170.0274977085246</v>
      </c>
      <c r="H24" s="52">
        <f>($D$3)/3*12/12</f>
        <v>16000</v>
      </c>
      <c r="I24" s="56">
        <v>3667.61</v>
      </c>
      <c r="L24" s="21"/>
    </row>
    <row r="25" spans="4:12" ht="12.75">
      <c r="D25" s="29">
        <f>$K$15</f>
        <v>1091</v>
      </c>
      <c r="F25" s="52"/>
      <c r="G25" s="52"/>
      <c r="H25" s="52"/>
      <c r="I25" s="56"/>
      <c r="L25" s="21"/>
    </row>
    <row r="26" spans="6:12" ht="12.75">
      <c r="F26" s="52"/>
      <c r="G26" s="52"/>
      <c r="H26" s="52"/>
      <c r="I26" s="56"/>
      <c r="L26" s="21"/>
    </row>
    <row r="27" spans="4:12" ht="12.75">
      <c r="D27" s="29">
        <v>365</v>
      </c>
      <c r="F27" s="52"/>
      <c r="G27" s="52"/>
      <c r="H27" s="52"/>
      <c r="I27" s="56"/>
      <c r="L27" s="21"/>
    </row>
    <row r="28" spans="1:12" ht="12.75">
      <c r="A28" s="2" t="s">
        <v>43</v>
      </c>
      <c r="F28" s="52">
        <f>$F$8*D27/D29</f>
        <v>19170.027497708525</v>
      </c>
      <c r="G28" s="52">
        <f>F13*1500-F28</f>
        <v>-1170.0274977085246</v>
      </c>
      <c r="H28" s="52">
        <f>($D$3)/3*12/12</f>
        <v>16000</v>
      </c>
      <c r="I28" s="56">
        <v>1650.71</v>
      </c>
      <c r="L28" s="21"/>
    </row>
    <row r="29" spans="4:12" ht="12.75">
      <c r="D29" s="29">
        <f>$K$15</f>
        <v>1091</v>
      </c>
      <c r="F29" s="52"/>
      <c r="G29" s="52"/>
      <c r="H29" s="52"/>
      <c r="I29" s="56"/>
      <c r="L29" s="21"/>
    </row>
    <row r="30" spans="6:12" ht="12.75">
      <c r="F30" s="52"/>
      <c r="G30" s="52"/>
      <c r="H30" s="52"/>
      <c r="I30" s="56"/>
      <c r="L30" s="21"/>
    </row>
    <row r="31" spans="4:12" ht="12.75">
      <c r="D31" s="29">
        <v>59</v>
      </c>
      <c r="F31" s="52"/>
      <c r="G31" s="52"/>
      <c r="H31" s="52"/>
      <c r="I31" s="56"/>
      <c r="L31" s="21"/>
    </row>
    <row r="32" spans="1:12" ht="12.75">
      <c r="A32" s="2" t="s">
        <v>44</v>
      </c>
      <c r="F32" s="52">
        <f>$F$8*D31/D33</f>
        <v>3098.7167736021997</v>
      </c>
      <c r="G32" s="52">
        <f>H13*1500-F32</f>
        <v>-98.71677360219974</v>
      </c>
      <c r="H32" s="52">
        <f>($D$3)/3*3/12</f>
        <v>4000</v>
      </c>
      <c r="I32" s="56">
        <v>65.11</v>
      </c>
      <c r="L32" s="21"/>
    </row>
    <row r="33" spans="4:12" ht="12.75">
      <c r="D33" s="29">
        <f>$K$15</f>
        <v>1091</v>
      </c>
      <c r="F33" s="52"/>
      <c r="G33" s="52"/>
      <c r="H33" s="52"/>
      <c r="I33" s="56"/>
      <c r="L33" s="21"/>
    </row>
    <row r="34" spans="4:12" ht="13.5" thickBot="1">
      <c r="D34" s="29"/>
      <c r="F34" s="53">
        <f>SUM(F20:F33)</f>
        <v>57300.00000000001</v>
      </c>
      <c r="G34" s="53">
        <f>SUM(G18:G33)</f>
        <v>-1.3642420526593924E-12</v>
      </c>
      <c r="H34" s="53">
        <f>SUM(H20:H33)</f>
        <v>48000</v>
      </c>
      <c r="I34" s="57">
        <f>SUM(I20:I33)</f>
        <v>9800</v>
      </c>
      <c r="L34" s="71"/>
    </row>
    <row r="35" ht="13.5" thickTop="1"/>
    <row r="36" ht="12.75">
      <c r="A36" s="67" t="s">
        <v>48</v>
      </c>
    </row>
    <row r="37" spans="1:7" ht="12.75">
      <c r="A37" s="36" t="s">
        <v>21</v>
      </c>
      <c r="B37" s="36"/>
      <c r="D37" s="36" t="s">
        <v>21</v>
      </c>
      <c r="E37" s="36"/>
      <c r="F37" s="30"/>
      <c r="G37" s="30"/>
    </row>
    <row r="38" spans="1:7" ht="12.75">
      <c r="A38" s="2" t="s">
        <v>20</v>
      </c>
      <c r="C38" s="25" t="s">
        <v>19</v>
      </c>
      <c r="D38" s="2" t="s">
        <v>49</v>
      </c>
      <c r="E38" s="35"/>
      <c r="F38" s="58"/>
      <c r="G38" s="68">
        <f>F39+F40</f>
        <v>3960</v>
      </c>
    </row>
    <row r="39" spans="1:7" ht="12.75">
      <c r="A39" s="2" t="s">
        <v>50</v>
      </c>
      <c r="C39" s="25"/>
      <c r="E39" s="35"/>
      <c r="F39" s="60">
        <v>3300</v>
      </c>
      <c r="G39" s="59"/>
    </row>
    <row r="40" spans="1:7" ht="12.75">
      <c r="A40" s="2" t="s">
        <v>37</v>
      </c>
      <c r="C40" s="25"/>
      <c r="E40" s="35"/>
      <c r="F40" s="60">
        <f>F39*0.2</f>
        <v>660</v>
      </c>
      <c r="G40" s="59"/>
    </row>
    <row r="41" spans="1:7" ht="12.75">
      <c r="A41" s="69" t="s">
        <v>51</v>
      </c>
      <c r="B41" s="36"/>
      <c r="D41" s="36"/>
      <c r="E41" s="36"/>
      <c r="F41" s="58"/>
      <c r="G41" s="58"/>
    </row>
    <row r="42" spans="1:7" ht="12.75">
      <c r="A42" s="36" t="s">
        <v>21</v>
      </c>
      <c r="B42" s="36"/>
      <c r="D42" s="36" t="s">
        <v>21</v>
      </c>
      <c r="E42" s="36"/>
      <c r="F42" s="58"/>
      <c r="G42" s="58"/>
    </row>
    <row r="43" spans="1:7" ht="12.75">
      <c r="A43" s="2" t="s">
        <v>20</v>
      </c>
      <c r="C43" s="25" t="s">
        <v>19</v>
      </c>
      <c r="D43" s="2" t="s">
        <v>49</v>
      </c>
      <c r="E43" s="35"/>
      <c r="F43" s="58"/>
      <c r="G43" s="68">
        <f>F44+F45</f>
        <v>1800</v>
      </c>
    </row>
    <row r="44" spans="1:7" ht="12.75">
      <c r="A44" s="2" t="s">
        <v>50</v>
      </c>
      <c r="C44" s="25"/>
      <c r="E44" s="35"/>
      <c r="F44" s="60">
        <v>1500</v>
      </c>
      <c r="G44" s="59"/>
    </row>
    <row r="45" spans="1:7" ht="12.75">
      <c r="A45" s="2" t="s">
        <v>37</v>
      </c>
      <c r="C45" s="25"/>
      <c r="E45" s="35"/>
      <c r="F45" s="60">
        <f>F44*0.2</f>
        <v>300</v>
      </c>
      <c r="G45" s="59"/>
    </row>
    <row r="46" spans="1:7" ht="12.75">
      <c r="A46" s="69" t="s">
        <v>52</v>
      </c>
      <c r="B46" s="36"/>
      <c r="D46" s="36"/>
      <c r="E46" s="36"/>
      <c r="F46" s="58"/>
      <c r="G46" s="58"/>
    </row>
    <row r="47" spans="1:7" ht="12.75">
      <c r="A47" s="36" t="s">
        <v>21</v>
      </c>
      <c r="B47" s="36"/>
      <c r="D47" s="36" t="s">
        <v>21</v>
      </c>
      <c r="E47" s="36"/>
      <c r="F47" s="58"/>
      <c r="G47" s="58"/>
    </row>
    <row r="48" spans="1:7" ht="12.75">
      <c r="A48" s="2" t="s">
        <v>53</v>
      </c>
      <c r="C48" s="25" t="s">
        <v>19</v>
      </c>
      <c r="D48" s="2" t="s">
        <v>54</v>
      </c>
      <c r="E48" s="35"/>
      <c r="F48" s="58"/>
      <c r="G48" s="59">
        <f>18300-F20</f>
        <v>2438.7717690192476</v>
      </c>
    </row>
    <row r="49" spans="1:7" ht="12.75">
      <c r="A49" s="67" t="s">
        <v>55</v>
      </c>
      <c r="C49" s="25"/>
      <c r="E49" s="35"/>
      <c r="F49" s="58"/>
      <c r="G49" s="59"/>
    </row>
    <row r="50" spans="1:7" ht="12.75">
      <c r="A50" s="36" t="s">
        <v>21</v>
      </c>
      <c r="B50" s="36"/>
      <c r="D50" s="36" t="s">
        <v>21</v>
      </c>
      <c r="E50" s="36"/>
      <c r="F50" s="58"/>
      <c r="G50" s="58"/>
    </row>
    <row r="52" ht="12.75">
      <c r="A52" s="67" t="s">
        <v>47</v>
      </c>
    </row>
    <row r="53" spans="1:7" ht="12.75">
      <c r="A53" s="36" t="s">
        <v>21</v>
      </c>
      <c r="B53" s="36"/>
      <c r="D53" s="36" t="s">
        <v>21</v>
      </c>
      <c r="E53" s="36"/>
      <c r="F53" s="30"/>
      <c r="G53" s="30"/>
    </row>
    <row r="54" spans="1:7" ht="12.75">
      <c r="A54" s="2" t="s">
        <v>18</v>
      </c>
      <c r="C54" s="25" t="s">
        <v>19</v>
      </c>
      <c r="D54" s="2" t="s">
        <v>24</v>
      </c>
      <c r="E54" s="35"/>
      <c r="F54" s="58"/>
      <c r="G54" s="59">
        <v>48000</v>
      </c>
    </row>
    <row r="55" spans="1:7" ht="12.75">
      <c r="A55" s="36" t="s">
        <v>21</v>
      </c>
      <c r="B55" s="36"/>
      <c r="D55" s="36" t="s">
        <v>21</v>
      </c>
      <c r="E55" s="36"/>
      <c r="F55" s="58"/>
      <c r="G55" s="58"/>
    </row>
    <row r="56" spans="1:7" ht="12.75">
      <c r="A56" s="2" t="s">
        <v>22</v>
      </c>
      <c r="C56" s="25" t="s">
        <v>19</v>
      </c>
      <c r="D56" s="2" t="s">
        <v>23</v>
      </c>
      <c r="E56" s="35"/>
      <c r="F56" s="58"/>
      <c r="G56" s="59">
        <v>12000</v>
      </c>
    </row>
    <row r="57" spans="1:7" ht="12.75">
      <c r="A57" s="36" t="s">
        <v>21</v>
      </c>
      <c r="B57" s="36"/>
      <c r="D57" s="36" t="s">
        <v>21</v>
      </c>
      <c r="E57" s="36"/>
      <c r="F57" s="58"/>
      <c r="G57" s="58"/>
    </row>
    <row r="58" spans="1:7" ht="12.75">
      <c r="A58" s="2" t="s">
        <v>20</v>
      </c>
      <c r="C58" s="25" t="s">
        <v>19</v>
      </c>
      <c r="D58" s="2" t="s">
        <v>35</v>
      </c>
      <c r="E58" s="35"/>
      <c r="F58" s="58"/>
      <c r="G58" s="59">
        <f>F59+F60</f>
        <v>3960</v>
      </c>
    </row>
    <row r="59" spans="1:7" ht="12.75">
      <c r="A59" s="2" t="s">
        <v>36</v>
      </c>
      <c r="C59" s="25"/>
      <c r="E59" s="35"/>
      <c r="F59" s="58">
        <v>3300</v>
      </c>
      <c r="G59" s="59"/>
    </row>
    <row r="60" spans="1:7" ht="12.75">
      <c r="A60" s="2" t="s">
        <v>37</v>
      </c>
      <c r="C60" s="25"/>
      <c r="E60" s="35"/>
      <c r="F60" s="58">
        <f>F59*0.2</f>
        <v>660</v>
      </c>
      <c r="G60" s="59"/>
    </row>
    <row r="61" spans="1:7" ht="12.75">
      <c r="A61" s="36" t="s">
        <v>21</v>
      </c>
      <c r="B61" s="36"/>
      <c r="D61" s="36" t="s">
        <v>21</v>
      </c>
      <c r="E61" s="36"/>
      <c r="F61" s="58"/>
      <c r="G61" s="58"/>
    </row>
    <row r="62" spans="1:7" ht="12.75">
      <c r="A62" s="2" t="s">
        <v>20</v>
      </c>
      <c r="C62" s="25" t="s">
        <v>19</v>
      </c>
      <c r="D62" s="2" t="s">
        <v>35</v>
      </c>
      <c r="E62" s="35"/>
      <c r="F62" s="58"/>
      <c r="G62" s="59">
        <f>SUM(F63:F65)</f>
        <v>1800</v>
      </c>
    </row>
    <row r="63" spans="1:7" ht="12.75">
      <c r="A63" s="2" t="s">
        <v>36</v>
      </c>
      <c r="C63" s="25"/>
      <c r="E63" s="35"/>
      <c r="F63" s="60">
        <v>1006.86</v>
      </c>
      <c r="G63" s="59"/>
    </row>
    <row r="64" spans="1:7" ht="12.75">
      <c r="A64" s="2" t="s">
        <v>38</v>
      </c>
      <c r="C64" s="25"/>
      <c r="E64" s="35"/>
      <c r="F64" s="60">
        <v>493.14</v>
      </c>
      <c r="G64" s="59"/>
    </row>
    <row r="65" spans="1:7" ht="12.75">
      <c r="A65" s="2" t="s">
        <v>37</v>
      </c>
      <c r="C65" s="25"/>
      <c r="E65" s="35"/>
      <c r="F65" s="58">
        <f>(F63+F64)*0.2</f>
        <v>300</v>
      </c>
      <c r="G65" s="59"/>
    </row>
    <row r="66" spans="1:7" ht="12.75">
      <c r="A66" s="36" t="s">
        <v>21</v>
      </c>
      <c r="B66" s="36"/>
      <c r="D66" s="36" t="s">
        <v>21</v>
      </c>
      <c r="E66" s="36"/>
      <c r="F66" s="30"/>
      <c r="G66" s="30"/>
    </row>
    <row r="69" spans="1:7" ht="12.75">
      <c r="A69" s="25"/>
      <c r="B69" s="25"/>
      <c r="C69" s="38">
        <v>36</v>
      </c>
      <c r="D69" s="25">
        <v>1500</v>
      </c>
      <c r="E69" s="25"/>
      <c r="F69" s="25">
        <v>500</v>
      </c>
      <c r="G69" s="25"/>
    </row>
    <row r="70" spans="1:8" ht="15.75">
      <c r="A70" s="25">
        <v>3300</v>
      </c>
      <c r="B70" s="25" t="s">
        <v>39</v>
      </c>
      <c r="C70" s="39" t="s">
        <v>25</v>
      </c>
      <c r="D70" s="31" t="s">
        <v>40</v>
      </c>
      <c r="E70" s="12" t="s">
        <v>39</v>
      </c>
      <c r="F70" s="31" t="s">
        <v>41</v>
      </c>
      <c r="G70" s="25" t="s">
        <v>16</v>
      </c>
      <c r="H70" s="25">
        <v>48000</v>
      </c>
    </row>
    <row r="71" spans="1:7" ht="14.25">
      <c r="A71" s="25"/>
      <c r="B71" s="25"/>
      <c r="C71" s="38" t="s">
        <v>26</v>
      </c>
      <c r="D71" s="25" t="s">
        <v>27</v>
      </c>
      <c r="E71" s="25"/>
      <c r="F71" s="25" t="s">
        <v>28</v>
      </c>
      <c r="G71" s="25"/>
    </row>
    <row r="73" spans="1:4" ht="12.75">
      <c r="A73" s="41" t="s">
        <v>29</v>
      </c>
      <c r="B73" s="65">
        <v>0.0110322519007154</v>
      </c>
      <c r="C73" s="66">
        <f>(B73+1)^12-1</f>
        <v>0.14072278819720663</v>
      </c>
      <c r="D73" s="2" t="s">
        <v>46</v>
      </c>
    </row>
    <row r="75" spans="1:8" ht="12.75">
      <c r="A75" s="25">
        <v>3300</v>
      </c>
      <c r="B75" s="25" t="s">
        <v>39</v>
      </c>
      <c r="D75" s="62">
        <f>PV(B73,36,-1500)</f>
        <v>44366.83095826681</v>
      </c>
      <c r="E75" s="45" t="s">
        <v>39</v>
      </c>
      <c r="F75" s="63">
        <f>500/(1+B73)^37</f>
        <v>333.16904346429556</v>
      </c>
      <c r="G75" s="25" t="s">
        <v>16</v>
      </c>
      <c r="H75" s="25">
        <v>48000</v>
      </c>
    </row>
    <row r="76" spans="1:8" ht="12.75">
      <c r="A76" s="25"/>
      <c r="B76" s="25"/>
      <c r="D76" s="61"/>
      <c r="E76" s="64">
        <f>D75+F75</f>
        <v>44700.0000017311</v>
      </c>
      <c r="F76" s="46"/>
      <c r="G76" s="25"/>
      <c r="H76" s="25"/>
    </row>
    <row r="77" spans="5:6" ht="12.75">
      <c r="E77" s="12"/>
      <c r="F77" s="12"/>
    </row>
    <row r="79" spans="2:6" ht="12.75">
      <c r="B79" s="44" t="s">
        <v>31</v>
      </c>
      <c r="C79" s="44" t="s">
        <v>30</v>
      </c>
      <c r="D79" s="44" t="s">
        <v>32</v>
      </c>
      <c r="E79" s="44" t="s">
        <v>33</v>
      </c>
      <c r="F79" s="44" t="s">
        <v>34</v>
      </c>
    </row>
    <row r="80" spans="2:6" ht="12.75">
      <c r="B80" s="2">
        <v>1</v>
      </c>
      <c r="C80" s="2">
        <v>1500</v>
      </c>
      <c r="D80" s="40">
        <f>E76*B73</f>
        <v>493.1416599810763</v>
      </c>
      <c r="E80" s="40">
        <f>C80-D80</f>
        <v>1006.8583400189236</v>
      </c>
      <c r="F80" s="42">
        <f>E76-E80</f>
        <v>43693.14166171218</v>
      </c>
    </row>
    <row r="81" spans="2:6" ht="12.75">
      <c r="B81" s="2">
        <v>2</v>
      </c>
      <c r="C81" s="2">
        <v>1500</v>
      </c>
      <c r="D81" s="40">
        <f aca="true" t="shared" si="0" ref="D81:D116">F80*$B$73</f>
        <v>482.03374514565144</v>
      </c>
      <c r="E81" s="40">
        <f>C81-D81</f>
        <v>1017.9662548543486</v>
      </c>
      <c r="F81" s="42">
        <f>F80-E81</f>
        <v>42675.17540685783</v>
      </c>
    </row>
    <row r="82" spans="2:6" ht="12.75">
      <c r="B82" s="2">
        <v>3</v>
      </c>
      <c r="C82" s="2">
        <v>1500</v>
      </c>
      <c r="D82" s="40">
        <f t="shared" si="0"/>
        <v>470.80328499567037</v>
      </c>
      <c r="E82" s="40">
        <f aca="true" t="shared" si="1" ref="E82:E116">C82-D82</f>
        <v>1029.1967150043297</v>
      </c>
      <c r="F82" s="42">
        <f aca="true" t="shared" si="2" ref="F82:F116">F81-E82</f>
        <v>41645.9786918535</v>
      </c>
    </row>
    <row r="83" spans="2:6" ht="12.75">
      <c r="B83" s="2">
        <v>4</v>
      </c>
      <c r="C83" s="2">
        <v>1500</v>
      </c>
      <c r="D83" s="40">
        <f t="shared" si="0"/>
        <v>459.4489275803538</v>
      </c>
      <c r="E83" s="40">
        <f t="shared" si="1"/>
        <v>1040.551072419646</v>
      </c>
      <c r="F83" s="42">
        <f t="shared" si="2"/>
        <v>40605.42761943386</v>
      </c>
    </row>
    <row r="84" spans="2:6" ht="12.75">
      <c r="B84" s="2">
        <v>5</v>
      </c>
      <c r="C84" s="2">
        <v>1500</v>
      </c>
      <c r="D84" s="40">
        <f t="shared" si="0"/>
        <v>447.9693060338608</v>
      </c>
      <c r="E84" s="40">
        <f t="shared" si="1"/>
        <v>1052.030693966139</v>
      </c>
      <c r="F84" s="42">
        <f t="shared" si="2"/>
        <v>39553.39692546772</v>
      </c>
    </row>
    <row r="85" spans="2:6" ht="12.75">
      <c r="B85" s="2">
        <v>6</v>
      </c>
      <c r="C85" s="2">
        <v>1500</v>
      </c>
      <c r="D85" s="40">
        <f t="shared" si="0"/>
        <v>436.3630384107419</v>
      </c>
      <c r="E85" s="40">
        <f t="shared" si="1"/>
        <v>1063.6369615892581</v>
      </c>
      <c r="F85" s="42">
        <f t="shared" si="2"/>
        <v>38489.75996387846</v>
      </c>
    </row>
    <row r="86" spans="2:6" ht="12.75">
      <c r="B86" s="2">
        <v>7</v>
      </c>
      <c r="C86" s="2">
        <v>1500</v>
      </c>
      <c r="D86" s="40">
        <f t="shared" si="0"/>
        <v>424.62872751957764</v>
      </c>
      <c r="E86" s="40">
        <f t="shared" si="1"/>
        <v>1075.3712724804222</v>
      </c>
      <c r="F86" s="42">
        <f t="shared" si="2"/>
        <v>37414.38869139804</v>
      </c>
    </row>
    <row r="87" spans="2:6" ht="12.75">
      <c r="B87" s="2">
        <v>8</v>
      </c>
      <c r="C87" s="2">
        <v>1500</v>
      </c>
      <c r="D87" s="40">
        <f t="shared" si="0"/>
        <v>412.76496075478076</v>
      </c>
      <c r="E87" s="40">
        <f t="shared" si="1"/>
        <v>1087.2350392452192</v>
      </c>
      <c r="F87" s="42">
        <f t="shared" si="2"/>
        <v>36327.15365215282</v>
      </c>
    </row>
    <row r="88" spans="2:6" ht="12.75">
      <c r="B88" s="2">
        <v>9</v>
      </c>
      <c r="C88" s="2">
        <v>1500</v>
      </c>
      <c r="D88" s="40">
        <f t="shared" si="0"/>
        <v>400.7703099265433</v>
      </c>
      <c r="E88" s="40">
        <f t="shared" si="1"/>
        <v>1099.2296900734568</v>
      </c>
      <c r="F88" s="42">
        <f t="shared" si="2"/>
        <v>35227.92396207936</v>
      </c>
    </row>
    <row r="89" spans="2:6" ht="12.75">
      <c r="B89" s="2">
        <v>10</v>
      </c>
      <c r="C89" s="2">
        <v>1500</v>
      </c>
      <c r="D89" s="40">
        <f t="shared" si="0"/>
        <v>388.6433310889076</v>
      </c>
      <c r="E89" s="40">
        <f t="shared" si="1"/>
        <v>1111.3566689110924</v>
      </c>
      <c r="F89" s="42">
        <f t="shared" si="2"/>
        <v>34116.567293168264</v>
      </c>
    </row>
    <row r="90" spans="2:6" ht="12.75">
      <c r="B90" s="2">
        <v>11</v>
      </c>
      <c r="C90" s="2">
        <v>1500</v>
      </c>
      <c r="D90" s="40">
        <f t="shared" si="0"/>
        <v>376.3825643659404</v>
      </c>
      <c r="E90" s="40">
        <f t="shared" si="1"/>
        <v>1123.6174356340596</v>
      </c>
      <c r="F90" s="42">
        <f t="shared" si="2"/>
        <v>32992.94985753421</v>
      </c>
    </row>
    <row r="91" spans="2:6" ht="12.75">
      <c r="B91" s="2">
        <v>12</v>
      </c>
      <c r="C91" s="2">
        <v>1500</v>
      </c>
      <c r="D91" s="40">
        <f t="shared" si="0"/>
        <v>363.98653377598964</v>
      </c>
      <c r="E91" s="40">
        <f t="shared" si="1"/>
        <v>1136.0134662240102</v>
      </c>
      <c r="F91" s="42">
        <f t="shared" si="2"/>
        <v>31856.9363913102</v>
      </c>
    </row>
    <row r="92" spans="2:6" ht="12.75">
      <c r="B92" s="2">
        <v>13</v>
      </c>
      <c r="C92" s="2">
        <v>1500</v>
      </c>
      <c r="D92" s="40">
        <f t="shared" si="0"/>
        <v>351.45374705400155</v>
      </c>
      <c r="E92" s="40">
        <f t="shared" si="1"/>
        <v>1148.5462529459985</v>
      </c>
      <c r="F92" s="42">
        <f t="shared" si="2"/>
        <v>30708.3901383642</v>
      </c>
    </row>
    <row r="93" spans="2:6" ht="12.75">
      <c r="B93" s="2">
        <v>14</v>
      </c>
      <c r="C93" s="2">
        <v>1500</v>
      </c>
      <c r="D93" s="40">
        <f t="shared" si="0"/>
        <v>338.78269547187847</v>
      </c>
      <c r="E93" s="40">
        <f t="shared" si="1"/>
        <v>1161.2173045281215</v>
      </c>
      <c r="F93" s="42">
        <f t="shared" si="2"/>
        <v>29547.172833836077</v>
      </c>
    </row>
    <row r="94" spans="2:6" ht="12.75">
      <c r="B94" s="2">
        <v>15</v>
      </c>
      <c r="C94" s="2">
        <v>1500</v>
      </c>
      <c r="D94" s="40">
        <f t="shared" si="0"/>
        <v>325.9718536568545</v>
      </c>
      <c r="E94" s="40">
        <f t="shared" si="1"/>
        <v>1174.0281463431456</v>
      </c>
      <c r="F94" s="42">
        <f t="shared" si="2"/>
        <v>28373.14468749293</v>
      </c>
    </row>
    <row r="95" spans="2:6" ht="12.75">
      <c r="B95" s="2">
        <v>16</v>
      </c>
      <c r="C95" s="2">
        <v>1500</v>
      </c>
      <c r="D95" s="40">
        <f t="shared" si="0"/>
        <v>313.01967940786693</v>
      </c>
      <c r="E95" s="40">
        <f t="shared" si="1"/>
        <v>1186.980320592133</v>
      </c>
      <c r="F95" s="42">
        <f t="shared" si="2"/>
        <v>27186.164366900797</v>
      </c>
    </row>
    <row r="96" spans="2:6" ht="12.75">
      <c r="B96" s="2">
        <v>17</v>
      </c>
      <c r="C96" s="2">
        <v>1500</v>
      </c>
      <c r="D96" s="40">
        <f t="shared" si="0"/>
        <v>299.9246135099026</v>
      </c>
      <c r="E96" s="40">
        <f t="shared" si="1"/>
        <v>1200.0753864900973</v>
      </c>
      <c r="F96" s="42">
        <f t="shared" si="2"/>
        <v>25986.0889804107</v>
      </c>
    </row>
    <row r="97" spans="2:6" ht="12.75">
      <c r="B97" s="2">
        <v>18</v>
      </c>
      <c r="C97" s="2">
        <v>1500</v>
      </c>
      <c r="D97" s="40">
        <f t="shared" si="0"/>
        <v>286.6850795462954</v>
      </c>
      <c r="E97" s="40">
        <f t="shared" si="1"/>
        <v>1213.3149204537046</v>
      </c>
      <c r="F97" s="42">
        <f t="shared" si="2"/>
        <v>24772.774059956995</v>
      </c>
    </row>
    <row r="98" spans="2:6" ht="12.75">
      <c r="B98" s="2">
        <v>19</v>
      </c>
      <c r="C98" s="2">
        <v>1500</v>
      </c>
      <c r="D98" s="40">
        <f t="shared" si="0"/>
        <v>273.2994837089537</v>
      </c>
      <c r="E98" s="40">
        <f t="shared" si="1"/>
        <v>1226.7005162910464</v>
      </c>
      <c r="F98" s="42">
        <f t="shared" si="2"/>
        <v>23546.07354366595</v>
      </c>
    </row>
    <row r="99" spans="2:6" ht="12.75">
      <c r="B99" s="2">
        <v>20</v>
      </c>
      <c r="C99" s="2">
        <v>1500</v>
      </c>
      <c r="D99" s="40">
        <f t="shared" si="0"/>
        <v>259.76621460649324</v>
      </c>
      <c r="E99" s="40">
        <f t="shared" si="1"/>
        <v>1240.2337853935069</v>
      </c>
      <c r="F99" s="42">
        <f t="shared" si="2"/>
        <v>22305.839758272443</v>
      </c>
    </row>
    <row r="100" spans="2:6" ht="12.75">
      <c r="B100" s="2">
        <v>21</v>
      </c>
      <c r="C100" s="2">
        <v>1500</v>
      </c>
      <c r="D100" s="40">
        <f t="shared" si="0"/>
        <v>246.08364307025428</v>
      </c>
      <c r="E100" s="40">
        <f t="shared" si="1"/>
        <v>1253.9163569297457</v>
      </c>
      <c r="F100" s="42">
        <f t="shared" si="2"/>
        <v>21051.923401342698</v>
      </c>
    </row>
    <row r="101" spans="2:6" ht="12.75">
      <c r="B101" s="2">
        <v>22</v>
      </c>
      <c r="C101" s="2">
        <v>1500</v>
      </c>
      <c r="D101" s="40">
        <f t="shared" si="0"/>
        <v>232.25012195817797</v>
      </c>
      <c r="E101" s="40">
        <f t="shared" si="1"/>
        <v>1267.749878041822</v>
      </c>
      <c r="F101" s="42">
        <f t="shared" si="2"/>
        <v>19784.173523300877</v>
      </c>
    </row>
    <row r="102" spans="2:6" ht="12.75">
      <c r="B102" s="2">
        <v>23</v>
      </c>
      <c r="C102" s="2">
        <v>1500</v>
      </c>
      <c r="D102" s="40">
        <f t="shared" si="0"/>
        <v>218.26398595651938</v>
      </c>
      <c r="E102" s="40">
        <f t="shared" si="1"/>
        <v>1281.7360140434807</v>
      </c>
      <c r="F102" s="42">
        <f t="shared" si="2"/>
        <v>18502.437509257397</v>
      </c>
    </row>
    <row r="103" spans="2:6" ht="12.75">
      <c r="B103" s="2">
        <v>24</v>
      </c>
      <c r="C103" s="2">
        <v>1500</v>
      </c>
      <c r="D103" s="40">
        <f t="shared" si="0"/>
        <v>204.12355137937283</v>
      </c>
      <c r="E103" s="40">
        <f t="shared" si="1"/>
        <v>1295.8764486206271</v>
      </c>
      <c r="F103" s="42">
        <f t="shared" si="2"/>
        <v>17206.56106063677</v>
      </c>
    </row>
    <row r="104" spans="2:6" ht="12.75">
      <c r="B104" s="2">
        <v>25</v>
      </c>
      <c r="C104" s="2">
        <v>1500</v>
      </c>
      <c r="D104" s="40">
        <f t="shared" si="0"/>
        <v>189.8271159659856</v>
      </c>
      <c r="E104" s="40">
        <f t="shared" si="1"/>
        <v>1310.1728840340145</v>
      </c>
      <c r="F104" s="42">
        <f t="shared" si="2"/>
        <v>15896.388176602755</v>
      </c>
    </row>
    <row r="105" spans="2:6" ht="12.75">
      <c r="B105" s="2">
        <v>26</v>
      </c>
      <c r="C105" s="2">
        <v>1500</v>
      </c>
      <c r="D105" s="40">
        <f t="shared" si="0"/>
        <v>175.37295867583555</v>
      </c>
      <c r="E105" s="40">
        <f t="shared" si="1"/>
        <v>1324.6270413241646</v>
      </c>
      <c r="F105" s="42">
        <f t="shared" si="2"/>
        <v>14571.76113527859</v>
      </c>
    </row>
    <row r="106" spans="2:6" ht="12.75">
      <c r="B106" s="2">
        <v>27</v>
      </c>
      <c r="C106" s="2">
        <v>1500</v>
      </c>
      <c r="D106" s="40">
        <f t="shared" si="0"/>
        <v>160.75933948144802</v>
      </c>
      <c r="E106" s="40">
        <f t="shared" si="1"/>
        <v>1339.240660518552</v>
      </c>
      <c r="F106" s="42">
        <f t="shared" si="2"/>
        <v>13232.520474760038</v>
      </c>
    </row>
    <row r="107" spans="2:6" ht="12.75">
      <c r="B107" s="2">
        <v>28</v>
      </c>
      <c r="C107" s="2">
        <v>1500</v>
      </c>
      <c r="D107" s="40">
        <f t="shared" si="0"/>
        <v>145.98449915892687</v>
      </c>
      <c r="E107" s="40">
        <f t="shared" si="1"/>
        <v>1354.0155008410732</v>
      </c>
      <c r="F107" s="42">
        <f t="shared" si="2"/>
        <v>11878.504973918965</v>
      </c>
    </row>
    <row r="108" spans="2:6" ht="12.75">
      <c r="B108" s="2">
        <v>29</v>
      </c>
      <c r="C108" s="2">
        <v>1500</v>
      </c>
      <c r="D108" s="40">
        <f t="shared" si="0"/>
        <v>131.04665907617485</v>
      </c>
      <c r="E108" s="40">
        <f t="shared" si="1"/>
        <v>1368.9533409238252</v>
      </c>
      <c r="F108" s="42">
        <f t="shared" si="2"/>
        <v>10509.55163299514</v>
      </c>
    </row>
    <row r="109" spans="2:6" ht="12.75">
      <c r="B109" s="2">
        <v>30</v>
      </c>
      <c r="C109" s="2">
        <v>1500</v>
      </c>
      <c r="D109" s="40">
        <f t="shared" si="0"/>
        <v>115.94402097877727</v>
      </c>
      <c r="E109" s="40">
        <f t="shared" si="1"/>
        <v>1384.0559790212228</v>
      </c>
      <c r="F109" s="42">
        <f t="shared" si="2"/>
        <v>9125.495653973918</v>
      </c>
    </row>
    <row r="110" spans="2:6" ht="12.75">
      <c r="B110" s="2">
        <v>31</v>
      </c>
      <c r="C110" s="2">
        <v>1500</v>
      </c>
      <c r="D110" s="40">
        <f t="shared" si="0"/>
        <v>100.67476677352387</v>
      </c>
      <c r="E110" s="40">
        <f t="shared" si="1"/>
        <v>1399.325233226476</v>
      </c>
      <c r="F110" s="42">
        <f t="shared" si="2"/>
        <v>7726.170420747441</v>
      </c>
    </row>
    <row r="111" spans="2:6" ht="12.75">
      <c r="B111" s="2">
        <v>32</v>
      </c>
      <c r="C111" s="2">
        <v>1500</v>
      </c>
      <c r="D111" s="40">
        <f t="shared" si="0"/>
        <v>85.23705830954206</v>
      </c>
      <c r="E111" s="40">
        <f t="shared" si="1"/>
        <v>1414.7629416904579</v>
      </c>
      <c r="F111" s="42">
        <f t="shared" si="2"/>
        <v>6311.407479056983</v>
      </c>
    </row>
    <row r="112" spans="2:6" ht="12.75">
      <c r="B112" s="2">
        <v>33</v>
      </c>
      <c r="C112" s="2">
        <v>1500</v>
      </c>
      <c r="D112" s="40">
        <f t="shared" si="0"/>
        <v>69.62903715701579</v>
      </c>
      <c r="E112" s="40">
        <f t="shared" si="1"/>
        <v>1430.3709628429842</v>
      </c>
      <c r="F112" s="42">
        <f t="shared" si="2"/>
        <v>4881.036516213999</v>
      </c>
    </row>
    <row r="113" spans="2:6" ht="12.75">
      <c r="B113" s="2">
        <v>34</v>
      </c>
      <c r="C113" s="2">
        <v>1500</v>
      </c>
      <c r="D113" s="40">
        <f t="shared" si="0"/>
        <v>53.84882438346316</v>
      </c>
      <c r="E113" s="40">
        <f t="shared" si="1"/>
        <v>1446.1511756165369</v>
      </c>
      <c r="F113" s="42">
        <f t="shared" si="2"/>
        <v>3434.885340597462</v>
      </c>
    </row>
    <row r="114" spans="2:6" ht="12.75">
      <c r="B114" s="2">
        <v>35</v>
      </c>
      <c r="C114" s="2">
        <v>1500</v>
      </c>
      <c r="D114" s="40">
        <f t="shared" si="0"/>
        <v>37.89452032754581</v>
      </c>
      <c r="E114" s="40">
        <f t="shared" si="1"/>
        <v>1462.1054796724543</v>
      </c>
      <c r="F114" s="42">
        <f t="shared" si="2"/>
        <v>1972.7798609250076</v>
      </c>
    </row>
    <row r="115" spans="2:6" ht="12.75">
      <c r="B115" s="2">
        <v>36</v>
      </c>
      <c r="C115" s="2">
        <v>1500</v>
      </c>
      <c r="D115" s="40">
        <f t="shared" si="0"/>
        <v>21.764204370382977</v>
      </c>
      <c r="E115" s="40">
        <f t="shared" si="1"/>
        <v>1478.235795629617</v>
      </c>
      <c r="F115" s="42">
        <f t="shared" si="2"/>
        <v>494.5440652953905</v>
      </c>
    </row>
    <row r="116" spans="2:6" ht="12.75">
      <c r="B116" s="2">
        <v>37</v>
      </c>
      <c r="C116" s="2">
        <v>500</v>
      </c>
      <c r="D116" s="43">
        <f t="shared" si="0"/>
        <v>5.455934704342592</v>
      </c>
      <c r="E116" s="43">
        <f t="shared" si="1"/>
        <v>494.5440652956574</v>
      </c>
      <c r="F116" s="42">
        <f t="shared" si="2"/>
        <v>-2.6687985155149363E-10</v>
      </c>
    </row>
    <row r="117" spans="3:5" ht="12.75">
      <c r="C117" s="42"/>
      <c r="D117" s="42">
        <f>SUM(D80:D116)</f>
        <v>9799.99999826863</v>
      </c>
      <c r="E117" s="42">
        <f>SUM(E80:E116)</f>
        <v>44700.00000173138</v>
      </c>
    </row>
  </sheetData>
  <mergeCells count="12">
    <mergeCell ref="H15:I15"/>
    <mergeCell ref="E12:F12"/>
    <mergeCell ref="G12:H12"/>
    <mergeCell ref="F13:G13"/>
    <mergeCell ref="H13:I13"/>
    <mergeCell ref="A2:F2"/>
    <mergeCell ref="D13:E13"/>
    <mergeCell ref="B15:C15"/>
    <mergeCell ref="D15:E15"/>
    <mergeCell ref="F15:G15"/>
    <mergeCell ref="C12:D12"/>
    <mergeCell ref="B13:C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showGridLines="0" tabSelected="1" workbookViewId="0" topLeftCell="A39">
      <selection activeCell="F63" sqref="F63"/>
    </sheetView>
  </sheetViews>
  <sheetFormatPr defaultColWidth="9.140625" defaultRowHeight="12.75"/>
  <cols>
    <col min="1" max="2" width="9.7109375" style="2" customWidth="1"/>
    <col min="3" max="3" width="8.140625" style="2" bestFit="1" customWidth="1"/>
    <col min="4" max="8" width="9.7109375" style="2" customWidth="1"/>
    <col min="9" max="9" width="10.140625" style="2" bestFit="1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ht="12.75">
      <c r="A1" s="1"/>
    </row>
    <row r="2" spans="1:9" ht="12.75">
      <c r="A2" s="73" t="s">
        <v>0</v>
      </c>
      <c r="B2" s="74"/>
      <c r="C2" s="74"/>
      <c r="D2" s="74"/>
      <c r="E2" s="74"/>
      <c r="F2" s="75"/>
      <c r="H2" s="21"/>
      <c r="I2" s="21"/>
    </row>
    <row r="3" spans="1:9" ht="12.75">
      <c r="A3" s="3" t="s">
        <v>1</v>
      </c>
      <c r="B3" s="4"/>
      <c r="C3" s="4"/>
      <c r="D3" s="5">
        <v>75000</v>
      </c>
      <c r="E3" s="6"/>
      <c r="F3" s="7"/>
      <c r="H3" s="21"/>
      <c r="I3" s="21"/>
    </row>
    <row r="4" spans="1:9" ht="12.75">
      <c r="A4" s="8" t="s">
        <v>2</v>
      </c>
      <c r="B4" s="9"/>
      <c r="C4" s="9"/>
      <c r="D4" s="9" t="s">
        <v>66</v>
      </c>
      <c r="E4" s="10"/>
      <c r="F4" s="47">
        <f>72*1500</f>
        <v>108000</v>
      </c>
      <c r="G4" s="11"/>
      <c r="H4" s="21" t="s">
        <v>63</v>
      </c>
      <c r="I4" s="21"/>
    </row>
    <row r="5" spans="1:9" ht="12.75">
      <c r="A5" s="8" t="s">
        <v>3</v>
      </c>
      <c r="B5" s="9"/>
      <c r="C5" s="12" t="s">
        <v>4</v>
      </c>
      <c r="D5" s="13" t="s">
        <v>59</v>
      </c>
      <c r="E5" s="14" t="s">
        <v>5</v>
      </c>
      <c r="F5" s="47">
        <v>3000</v>
      </c>
      <c r="G5" s="11"/>
      <c r="H5" s="21" t="s">
        <v>64</v>
      </c>
      <c r="I5" s="21"/>
    </row>
    <row r="6" spans="1:9" ht="12.75">
      <c r="A6" s="8" t="s">
        <v>6</v>
      </c>
      <c r="B6" s="9"/>
      <c r="C6" s="12" t="s">
        <v>4</v>
      </c>
      <c r="D6" s="13" t="s">
        <v>59</v>
      </c>
      <c r="E6" s="14" t="s">
        <v>5</v>
      </c>
      <c r="F6" s="47">
        <v>300</v>
      </c>
      <c r="G6" s="11"/>
      <c r="H6" s="21" t="s">
        <v>65</v>
      </c>
      <c r="I6" s="21"/>
    </row>
    <row r="7" spans="1:9" ht="12.75">
      <c r="A7" s="8" t="s">
        <v>7</v>
      </c>
      <c r="B7" s="15">
        <v>750</v>
      </c>
      <c r="C7" s="12" t="s">
        <v>4</v>
      </c>
      <c r="D7" s="13" t="s">
        <v>67</v>
      </c>
      <c r="E7" s="10"/>
      <c r="F7" s="48"/>
      <c r="G7" s="15"/>
      <c r="H7" s="21" t="str">
        <f>"aliquota ammortamento corrispondente "&amp;FIXED(1/18*100,2)&amp;" %"</f>
        <v>aliquota ammortamento corrispondente 5,56 %</v>
      </c>
      <c r="I7" s="21"/>
    </row>
    <row r="8" spans="1:9" ht="13.5" thickBot="1">
      <c r="A8" s="16" t="s">
        <v>8</v>
      </c>
      <c r="B8" s="17"/>
      <c r="C8" s="17"/>
      <c r="D8" s="17"/>
      <c r="E8" s="18"/>
      <c r="F8" s="49">
        <f>SUM(F4:F7)</f>
        <v>111300</v>
      </c>
      <c r="G8" s="15"/>
      <c r="H8" s="94"/>
      <c r="I8" s="21"/>
    </row>
    <row r="9" ht="13.5" thickTop="1"/>
    <row r="10" spans="1:3" s="21" customFormat="1" ht="12.75">
      <c r="A10" s="21" t="s">
        <v>68</v>
      </c>
      <c r="C10" s="87">
        <v>39145</v>
      </c>
    </row>
    <row r="11" spans="1:3" s="21" customFormat="1" ht="12.75">
      <c r="A11" s="21" t="s">
        <v>69</v>
      </c>
      <c r="C11" s="87">
        <v>45747</v>
      </c>
    </row>
    <row r="12" spans="1:9" s="21" customFormat="1" ht="12.75">
      <c r="A12" s="21" t="s">
        <v>70</v>
      </c>
      <c r="B12" s="84"/>
      <c r="C12" s="88">
        <f>C11-C10</f>
        <v>6602</v>
      </c>
      <c r="D12" s="85"/>
      <c r="E12" s="86"/>
      <c r="F12" s="86"/>
      <c r="G12" s="86"/>
      <c r="H12" s="86"/>
      <c r="I12" s="85"/>
    </row>
    <row r="13" spans="1:9" ht="12.75">
      <c r="A13" s="21" t="s">
        <v>77</v>
      </c>
      <c r="B13" s="33"/>
      <c r="C13" s="91">
        <v>1.2938310185185184</v>
      </c>
      <c r="D13" s="33"/>
      <c r="E13" s="33"/>
      <c r="F13" s="12"/>
      <c r="G13" s="12"/>
      <c r="H13" s="12"/>
      <c r="I13" s="12"/>
    </row>
    <row r="14" spans="2:11" ht="38.25">
      <c r="B14" s="33"/>
      <c r="C14" s="33"/>
      <c r="D14" s="33"/>
      <c r="E14" s="33"/>
      <c r="F14" s="34" t="s">
        <v>17</v>
      </c>
      <c r="G14" s="34" t="s">
        <v>57</v>
      </c>
      <c r="H14" s="37" t="s">
        <v>60</v>
      </c>
      <c r="I14" s="37" t="s">
        <v>76</v>
      </c>
      <c r="J14" s="37" t="s">
        <v>61</v>
      </c>
      <c r="K14" s="37" t="s">
        <v>79</v>
      </c>
    </row>
    <row r="15" spans="2:11" ht="12.75">
      <c r="B15" s="26"/>
      <c r="F15" s="50"/>
      <c r="G15" s="50"/>
      <c r="H15" s="54"/>
      <c r="I15" s="50"/>
      <c r="J15" s="30"/>
      <c r="K15" s="30"/>
    </row>
    <row r="16" spans="4:11" ht="12.75">
      <c r="D16" s="28">
        <v>302</v>
      </c>
      <c r="F16" s="51"/>
      <c r="G16" s="51"/>
      <c r="H16" s="55"/>
      <c r="I16" s="51"/>
      <c r="J16" s="30"/>
      <c r="K16" s="30"/>
    </row>
    <row r="17" spans="1:11" ht="12.75">
      <c r="A17" s="2" t="s">
        <v>71</v>
      </c>
      <c r="F17" s="52">
        <f>$F$8*D16/D18</f>
        <v>5091.275371099667</v>
      </c>
      <c r="G17" s="52">
        <f>F5+F6+4*1500-F17</f>
        <v>4208.724628900333</v>
      </c>
      <c r="H17" s="56">
        <f>SUM(D78:D80)</f>
        <v>2651.448684658796</v>
      </c>
      <c r="I17" s="52">
        <f>($D$3)/18*9/12</f>
        <v>3125</v>
      </c>
      <c r="J17" s="72">
        <f>+I17*0.2</f>
        <v>625</v>
      </c>
      <c r="K17" s="72">
        <f>+H17*0.2</f>
        <v>530.2897369317592</v>
      </c>
    </row>
    <row r="18" spans="1:11" ht="12.75">
      <c r="A18" s="2" t="s">
        <v>12</v>
      </c>
      <c r="D18" s="29">
        <f>C12</f>
        <v>6602</v>
      </c>
      <c r="F18" s="52"/>
      <c r="G18" s="52"/>
      <c r="H18" s="56"/>
      <c r="I18" s="52"/>
      <c r="J18" s="30"/>
      <c r="K18" s="30"/>
    </row>
    <row r="19" spans="4:11" ht="12.75">
      <c r="D19" s="29"/>
      <c r="F19" s="52"/>
      <c r="G19" s="52"/>
      <c r="H19" s="56"/>
      <c r="I19" s="52"/>
      <c r="J19" s="30"/>
      <c r="K19" s="30"/>
    </row>
    <row r="20" spans="4:11" ht="12.75">
      <c r="D20" s="29">
        <v>366</v>
      </c>
      <c r="F20" s="52"/>
      <c r="G20" s="52"/>
      <c r="H20" s="56"/>
      <c r="I20" s="52"/>
      <c r="J20" s="30"/>
      <c r="K20" s="30"/>
    </row>
    <row r="21" spans="1:11" ht="12.75">
      <c r="A21" s="2" t="s">
        <v>72</v>
      </c>
      <c r="F21" s="52">
        <f>$F$8*D20/D22</f>
        <v>6170.221145107543</v>
      </c>
      <c r="G21" s="52">
        <f>G17-(F21-4*1500)</f>
        <v>4038.5034837927906</v>
      </c>
      <c r="H21" s="56">
        <f>SUM(D81:D84)</f>
        <v>3423.8328850156167</v>
      </c>
      <c r="I21" s="52">
        <f>($D$3)/18</f>
        <v>4166.666666666667</v>
      </c>
      <c r="J21" s="72">
        <f>+I21*0.2</f>
        <v>833.3333333333335</v>
      </c>
      <c r="K21" s="72">
        <f>+H21*0.2</f>
        <v>684.7665770031234</v>
      </c>
    </row>
    <row r="22" spans="4:11" ht="12.75">
      <c r="D22" s="29">
        <f>C12</f>
        <v>6602</v>
      </c>
      <c r="F22" s="52"/>
      <c r="G22" s="52"/>
      <c r="H22" s="56"/>
      <c r="I22" s="52"/>
      <c r="J22" s="30"/>
      <c r="K22" s="30"/>
    </row>
    <row r="23" spans="6:11" ht="12.75">
      <c r="F23" s="52"/>
      <c r="G23" s="52"/>
      <c r="H23" s="56"/>
      <c r="I23" s="52"/>
      <c r="J23" s="30"/>
      <c r="K23" s="30"/>
    </row>
    <row r="24" spans="1:11" ht="12.75">
      <c r="A24" s="2" t="s">
        <v>73</v>
      </c>
      <c r="F24" s="51" t="s">
        <v>75</v>
      </c>
      <c r="G24" s="51" t="s">
        <v>75</v>
      </c>
      <c r="H24" s="51" t="s">
        <v>75</v>
      </c>
      <c r="I24" s="51" t="s">
        <v>75</v>
      </c>
      <c r="J24" s="51" t="s">
        <v>75</v>
      </c>
      <c r="K24" s="51" t="s">
        <v>75</v>
      </c>
    </row>
    <row r="25" spans="4:11" ht="12.75">
      <c r="D25" s="29"/>
      <c r="F25" s="52"/>
      <c r="G25" s="52"/>
      <c r="H25" s="56"/>
      <c r="I25" s="52"/>
      <c r="J25" s="30"/>
      <c r="K25" s="30"/>
    </row>
    <row r="26" spans="4:11" ht="12.75">
      <c r="D26" s="29">
        <v>59</v>
      </c>
      <c r="F26" s="52"/>
      <c r="G26" s="52"/>
      <c r="H26" s="56"/>
      <c r="I26" s="52"/>
      <c r="J26" s="30"/>
      <c r="K26" s="30"/>
    </row>
    <row r="27" spans="1:11" ht="12.75">
      <c r="A27" s="2" t="s">
        <v>74</v>
      </c>
      <c r="F27" s="52">
        <f>$F$8*D26/D28</f>
        <v>994.6531354135111</v>
      </c>
      <c r="G27" s="52">
        <v>0</v>
      </c>
      <c r="H27" s="56">
        <f>D149</f>
        <v>9.40592694300657</v>
      </c>
      <c r="I27" s="52">
        <f>($D$3)/18*3/12</f>
        <v>1041.6666666666667</v>
      </c>
      <c r="J27" s="72">
        <f>+I27*0.2</f>
        <v>208.33333333333337</v>
      </c>
      <c r="K27" s="72">
        <f>+H27*0.2</f>
        <v>1.8811853886013141</v>
      </c>
    </row>
    <row r="28" spans="4:11" ht="12.75">
      <c r="D28" s="29">
        <f>C12</f>
        <v>6602</v>
      </c>
      <c r="F28" s="52"/>
      <c r="G28" s="52"/>
      <c r="H28" s="56"/>
      <c r="I28" s="52"/>
      <c r="J28" s="30"/>
      <c r="K28" s="30"/>
    </row>
    <row r="29" spans="4:11" ht="13.5" thickBot="1">
      <c r="D29" s="29"/>
      <c r="F29" s="53">
        <v>111300</v>
      </c>
      <c r="G29" s="53"/>
      <c r="H29" s="57">
        <f>D150</f>
        <v>37049.9993820764</v>
      </c>
      <c r="I29" s="53">
        <v>75000</v>
      </c>
      <c r="J29" s="53">
        <v>15000</v>
      </c>
      <c r="K29" s="53">
        <f>H29*20%</f>
        <v>7409.999876415281</v>
      </c>
    </row>
    <row r="30" spans="4:10" s="83" customFormat="1" ht="13.5" thickTop="1">
      <c r="D30" s="89"/>
      <c r="F30" s="71"/>
      <c r="G30" s="71"/>
      <c r="H30" s="90"/>
      <c r="I30" s="71"/>
      <c r="J30" s="71"/>
    </row>
    <row r="31" spans="1:10" s="83" customFormat="1" ht="12.75">
      <c r="A31" s="67" t="s">
        <v>48</v>
      </c>
      <c r="B31" s="2"/>
      <c r="C31" s="2"/>
      <c r="D31" s="2"/>
      <c r="E31" s="2"/>
      <c r="F31" s="2"/>
      <c r="G31" s="2"/>
      <c r="H31" s="90"/>
      <c r="I31" s="71"/>
      <c r="J31" s="71"/>
    </row>
    <row r="32" spans="1:10" s="83" customFormat="1" ht="12.75">
      <c r="A32" s="36" t="s">
        <v>21</v>
      </c>
      <c r="B32" s="36"/>
      <c r="C32" s="2"/>
      <c r="D32" s="36" t="s">
        <v>21</v>
      </c>
      <c r="E32" s="36"/>
      <c r="F32" s="30"/>
      <c r="G32" s="30"/>
      <c r="H32" s="90"/>
      <c r="I32" s="71"/>
      <c r="J32" s="71"/>
    </row>
    <row r="33" spans="1:10" s="83" customFormat="1" ht="12.75">
      <c r="A33" s="2" t="s">
        <v>20</v>
      </c>
      <c r="B33" s="2"/>
      <c r="C33" s="25" t="s">
        <v>19</v>
      </c>
      <c r="D33" s="2" t="s">
        <v>49</v>
      </c>
      <c r="E33" s="35"/>
      <c r="F33" s="58"/>
      <c r="G33" s="68">
        <f>F34+F35</f>
        <v>3960</v>
      </c>
      <c r="H33" s="90"/>
      <c r="I33" s="71"/>
      <c r="J33" s="71"/>
    </row>
    <row r="34" spans="1:10" s="83" customFormat="1" ht="12.75">
      <c r="A34" s="2" t="s">
        <v>50</v>
      </c>
      <c r="B34" s="2"/>
      <c r="C34" s="25"/>
      <c r="D34" s="2"/>
      <c r="E34" s="35"/>
      <c r="F34" s="60">
        <v>3300</v>
      </c>
      <c r="G34" s="59"/>
      <c r="H34" s="90"/>
      <c r="I34" s="71"/>
      <c r="J34" s="71"/>
    </row>
    <row r="35" spans="1:10" s="83" customFormat="1" ht="12.75">
      <c r="A35" s="2" t="s">
        <v>37</v>
      </c>
      <c r="B35" s="2"/>
      <c r="C35" s="25"/>
      <c r="D35" s="2"/>
      <c r="E35" s="35"/>
      <c r="F35" s="60">
        <f>F34*0.2</f>
        <v>660</v>
      </c>
      <c r="G35" s="59"/>
      <c r="H35" s="90"/>
      <c r="I35" s="71"/>
      <c r="J35" s="71"/>
    </row>
    <row r="36" spans="1:10" s="83" customFormat="1" ht="12.75">
      <c r="A36" s="69" t="s">
        <v>51</v>
      </c>
      <c r="B36" s="36"/>
      <c r="C36" s="2"/>
      <c r="D36" s="36"/>
      <c r="E36" s="36"/>
      <c r="F36" s="58"/>
      <c r="G36" s="58"/>
      <c r="H36" s="90"/>
      <c r="I36" s="71"/>
      <c r="J36" s="71"/>
    </row>
    <row r="37" spans="1:10" s="83" customFormat="1" ht="12.75">
      <c r="A37" s="36" t="s">
        <v>21</v>
      </c>
      <c r="B37" s="36"/>
      <c r="C37" s="2"/>
      <c r="D37" s="36" t="s">
        <v>21</v>
      </c>
      <c r="E37" s="36"/>
      <c r="F37" s="58"/>
      <c r="G37" s="58"/>
      <c r="H37" s="90"/>
      <c r="I37" s="71"/>
      <c r="J37" s="71"/>
    </row>
    <row r="38" spans="1:10" s="83" customFormat="1" ht="12.75">
      <c r="A38" s="2" t="s">
        <v>20</v>
      </c>
      <c r="B38" s="2"/>
      <c r="C38" s="25" t="s">
        <v>19</v>
      </c>
      <c r="D38" s="2" t="s">
        <v>49</v>
      </c>
      <c r="E38" s="35"/>
      <c r="F38" s="58"/>
      <c r="G38" s="68">
        <f>F39+F40</f>
        <v>1800</v>
      </c>
      <c r="H38" s="90"/>
      <c r="I38" s="71"/>
      <c r="J38" s="71"/>
    </row>
    <row r="39" spans="1:10" s="83" customFormat="1" ht="12.75">
      <c r="A39" s="2" t="s">
        <v>50</v>
      </c>
      <c r="B39" s="2"/>
      <c r="C39" s="25"/>
      <c r="D39" s="2"/>
      <c r="E39" s="35"/>
      <c r="F39" s="60">
        <v>1500</v>
      </c>
      <c r="G39" s="59"/>
      <c r="H39" s="90"/>
      <c r="I39" s="71"/>
      <c r="J39" s="71"/>
    </row>
    <row r="40" spans="1:10" s="83" customFormat="1" ht="12.75">
      <c r="A40" s="2" t="s">
        <v>37</v>
      </c>
      <c r="B40" s="2"/>
      <c r="C40" s="25"/>
      <c r="D40" s="2"/>
      <c r="E40" s="35"/>
      <c r="F40" s="60">
        <f>F39*0.2</f>
        <v>300</v>
      </c>
      <c r="G40" s="59"/>
      <c r="H40" s="90"/>
      <c r="I40" s="71"/>
      <c r="J40" s="71"/>
    </row>
    <row r="41" spans="1:10" s="83" customFormat="1" ht="12.75">
      <c r="A41" s="69" t="s">
        <v>52</v>
      </c>
      <c r="B41" s="36"/>
      <c r="C41" s="2"/>
      <c r="D41" s="36"/>
      <c r="E41" s="36"/>
      <c r="F41" s="58"/>
      <c r="G41" s="58"/>
      <c r="H41" s="90"/>
      <c r="I41" s="71"/>
      <c r="J41" s="71"/>
    </row>
    <row r="42" spans="1:10" s="83" customFormat="1" ht="12.75">
      <c r="A42" s="36" t="s">
        <v>21</v>
      </c>
      <c r="B42" s="36"/>
      <c r="C42" s="2"/>
      <c r="D42" s="36" t="s">
        <v>21</v>
      </c>
      <c r="E42" s="36"/>
      <c r="F42" s="58"/>
      <c r="G42" s="58"/>
      <c r="H42" s="90"/>
      <c r="I42" s="71"/>
      <c r="J42" s="71"/>
    </row>
    <row r="43" spans="1:10" s="83" customFormat="1" ht="12.75">
      <c r="A43" s="2" t="s">
        <v>53</v>
      </c>
      <c r="B43" s="2"/>
      <c r="C43" s="25" t="s">
        <v>19</v>
      </c>
      <c r="D43" s="2" t="s">
        <v>54</v>
      </c>
      <c r="E43" s="35"/>
      <c r="F43" s="58"/>
      <c r="G43" s="59">
        <v>4209</v>
      </c>
      <c r="H43" s="90"/>
      <c r="I43" s="71"/>
      <c r="J43" s="71"/>
    </row>
    <row r="44" spans="1:10" s="83" customFormat="1" ht="12.75">
      <c r="A44" s="67" t="s">
        <v>55</v>
      </c>
      <c r="B44" s="2"/>
      <c r="C44" s="25"/>
      <c r="D44" s="2"/>
      <c r="E44" s="35"/>
      <c r="F44" s="58"/>
      <c r="G44" s="59"/>
      <c r="H44" s="90"/>
      <c r="I44" s="71"/>
      <c r="J44" s="71"/>
    </row>
    <row r="45" spans="1:10" s="83" customFormat="1" ht="12.75">
      <c r="A45" s="36" t="s">
        <v>21</v>
      </c>
      <c r="B45" s="36"/>
      <c r="C45" s="2"/>
      <c r="D45" s="36" t="s">
        <v>21</v>
      </c>
      <c r="E45" s="36"/>
      <c r="F45" s="58"/>
      <c r="G45" s="58"/>
      <c r="H45" s="90"/>
      <c r="I45" s="71"/>
      <c r="J45" s="71"/>
    </row>
    <row r="46" spans="1:10" s="83" customFormat="1" ht="12.75">
      <c r="A46" s="2"/>
      <c r="B46" s="2"/>
      <c r="C46" s="2"/>
      <c r="D46" s="2"/>
      <c r="E46" s="2"/>
      <c r="F46" s="2"/>
      <c r="G46" s="2"/>
      <c r="H46" s="90"/>
      <c r="I46" s="71"/>
      <c r="J46" s="71"/>
    </row>
    <row r="47" spans="1:10" s="83" customFormat="1" ht="12.75">
      <c r="A47" s="67" t="s">
        <v>47</v>
      </c>
      <c r="B47" s="2"/>
      <c r="C47" s="2"/>
      <c r="D47" s="2"/>
      <c r="E47" s="2"/>
      <c r="F47" s="2"/>
      <c r="G47" s="2"/>
      <c r="H47" s="90"/>
      <c r="I47" s="71"/>
      <c r="J47" s="71"/>
    </row>
    <row r="48" spans="1:10" s="83" customFormat="1" ht="12.75">
      <c r="A48" s="36" t="s">
        <v>21</v>
      </c>
      <c r="B48" s="36"/>
      <c r="C48" s="2"/>
      <c r="D48" s="36" t="s">
        <v>21</v>
      </c>
      <c r="E48" s="36"/>
      <c r="F48" s="30"/>
      <c r="G48" s="30"/>
      <c r="H48" s="90"/>
      <c r="I48" s="71"/>
      <c r="J48" s="71"/>
    </row>
    <row r="49" spans="1:10" s="83" customFormat="1" ht="12.75">
      <c r="A49" s="2" t="s">
        <v>18</v>
      </c>
      <c r="B49" s="2"/>
      <c r="C49" s="25" t="s">
        <v>19</v>
      </c>
      <c r="D49" s="2" t="s">
        <v>24</v>
      </c>
      <c r="E49" s="35"/>
      <c r="F49" s="58"/>
      <c r="G49" s="59">
        <v>75000</v>
      </c>
      <c r="H49" s="90"/>
      <c r="I49" s="71"/>
      <c r="J49" s="71"/>
    </row>
    <row r="50" spans="1:10" s="83" customFormat="1" ht="12.75">
      <c r="A50" s="36" t="s">
        <v>21</v>
      </c>
      <c r="B50" s="36"/>
      <c r="C50" s="2"/>
      <c r="D50" s="36" t="s">
        <v>21</v>
      </c>
      <c r="E50" s="36"/>
      <c r="F50" s="58"/>
      <c r="G50" s="58"/>
      <c r="H50" s="90"/>
      <c r="I50" s="71"/>
      <c r="J50" s="71"/>
    </row>
    <row r="51" spans="1:10" s="83" customFormat="1" ht="12.75">
      <c r="A51" s="2" t="s">
        <v>22</v>
      </c>
      <c r="B51" s="2"/>
      <c r="C51" s="25" t="s">
        <v>19</v>
      </c>
      <c r="D51" s="2" t="s">
        <v>23</v>
      </c>
      <c r="E51" s="35"/>
      <c r="F51" s="58"/>
      <c r="G51" s="59">
        <v>3125</v>
      </c>
      <c r="H51" s="90"/>
      <c r="I51" s="71"/>
      <c r="J51" s="71"/>
    </row>
    <row r="52" spans="1:10" s="83" customFormat="1" ht="12.75">
      <c r="A52" s="36" t="s">
        <v>21</v>
      </c>
      <c r="B52" s="36"/>
      <c r="C52" s="2"/>
      <c r="D52" s="36" t="s">
        <v>21</v>
      </c>
      <c r="E52" s="36"/>
      <c r="F52" s="58"/>
      <c r="G52" s="58"/>
      <c r="H52" s="90"/>
      <c r="I52" s="71"/>
      <c r="J52" s="71"/>
    </row>
    <row r="53" spans="1:10" s="83" customFormat="1" ht="12.75">
      <c r="A53" s="2" t="s">
        <v>20</v>
      </c>
      <c r="B53" s="2"/>
      <c r="C53" s="25" t="s">
        <v>19</v>
      </c>
      <c r="D53" s="2" t="s">
        <v>35</v>
      </c>
      <c r="E53" s="35"/>
      <c r="F53" s="58"/>
      <c r="G53" s="59">
        <f>F54+F55</f>
        <v>3960</v>
      </c>
      <c r="H53" s="90"/>
      <c r="I53" s="71"/>
      <c r="J53" s="71"/>
    </row>
    <row r="54" spans="1:10" s="83" customFormat="1" ht="12.75">
      <c r="A54" s="2" t="s">
        <v>36</v>
      </c>
      <c r="B54" s="2"/>
      <c r="C54" s="25"/>
      <c r="D54" s="2"/>
      <c r="E54" s="35"/>
      <c r="F54" s="58">
        <v>3300</v>
      </c>
      <c r="G54" s="59"/>
      <c r="H54" s="90"/>
      <c r="I54" s="71"/>
      <c r="J54" s="71"/>
    </row>
    <row r="55" spans="1:10" s="83" customFormat="1" ht="12.75">
      <c r="A55" s="2" t="s">
        <v>37</v>
      </c>
      <c r="B55" s="2"/>
      <c r="C55" s="25"/>
      <c r="D55" s="2"/>
      <c r="E55" s="35"/>
      <c r="F55" s="58">
        <f>F54*0.2</f>
        <v>660</v>
      </c>
      <c r="G55" s="59"/>
      <c r="H55" s="90"/>
      <c r="I55" s="71"/>
      <c r="J55" s="71"/>
    </row>
    <row r="56" spans="1:10" s="83" customFormat="1" ht="12.75">
      <c r="A56" s="36" t="s">
        <v>21</v>
      </c>
      <c r="B56" s="36"/>
      <c r="C56" s="2"/>
      <c r="D56" s="36" t="s">
        <v>21</v>
      </c>
      <c r="E56" s="36"/>
      <c r="F56" s="58"/>
      <c r="G56" s="58"/>
      <c r="H56" s="90"/>
      <c r="I56" s="71"/>
      <c r="J56" s="71"/>
    </row>
    <row r="57" spans="1:10" s="83" customFormat="1" ht="12.75">
      <c r="A57" s="2" t="s">
        <v>20</v>
      </c>
      <c r="B57" s="2"/>
      <c r="C57" s="25" t="s">
        <v>19</v>
      </c>
      <c r="D57" s="2" t="s">
        <v>35</v>
      </c>
      <c r="E57" s="35"/>
      <c r="F57" s="58"/>
      <c r="G57" s="59">
        <f>SUM(F58:F59)</f>
        <v>1800</v>
      </c>
      <c r="H57" s="90"/>
      <c r="I57" s="71"/>
      <c r="J57" s="71"/>
    </row>
    <row r="58" spans="1:10" s="83" customFormat="1" ht="12.75">
      <c r="A58" s="2" t="s">
        <v>36</v>
      </c>
      <c r="B58" s="2"/>
      <c r="C58" s="25"/>
      <c r="D58" s="2"/>
      <c r="E58" s="35"/>
      <c r="F58" s="60">
        <v>1500</v>
      </c>
      <c r="G58" s="59"/>
      <c r="H58" s="90"/>
      <c r="I58" s="71"/>
      <c r="J58" s="71"/>
    </row>
    <row r="59" spans="1:10" s="83" customFormat="1" ht="12.75">
      <c r="A59" s="2" t="s">
        <v>37</v>
      </c>
      <c r="B59" s="2"/>
      <c r="C59" s="25"/>
      <c r="D59" s="2"/>
      <c r="E59" s="35"/>
      <c r="F59" s="58">
        <v>300</v>
      </c>
      <c r="G59" s="59"/>
      <c r="H59" s="90"/>
      <c r="I59" s="71"/>
      <c r="J59" s="71"/>
    </row>
    <row r="60" spans="1:10" s="83" customFormat="1" ht="12.75">
      <c r="A60" s="36" t="s">
        <v>21</v>
      </c>
      <c r="B60" s="36"/>
      <c r="C60" s="2"/>
      <c r="D60" s="36" t="s">
        <v>21</v>
      </c>
      <c r="E60" s="36"/>
      <c r="F60" s="30"/>
      <c r="G60" s="30"/>
      <c r="H60" s="90"/>
      <c r="I60" s="71"/>
      <c r="J60" s="71"/>
    </row>
    <row r="61" spans="1:10" s="83" customFormat="1" ht="12.75">
      <c r="A61" s="2" t="s">
        <v>20</v>
      </c>
      <c r="B61" s="2"/>
      <c r="C61" s="25" t="s">
        <v>19</v>
      </c>
      <c r="D61" s="2" t="s">
        <v>35</v>
      </c>
      <c r="E61" s="35"/>
      <c r="F61" s="58"/>
      <c r="G61" s="59">
        <f>SUM(F62:F64)</f>
        <v>1800</v>
      </c>
      <c r="H61" s="90"/>
      <c r="I61" s="71"/>
      <c r="J61" s="71"/>
    </row>
    <row r="62" spans="1:10" s="83" customFormat="1" ht="12.75">
      <c r="A62" s="2" t="s">
        <v>36</v>
      </c>
      <c r="B62" s="2"/>
      <c r="C62" s="25"/>
      <c r="D62" s="2"/>
      <c r="E62" s="35"/>
      <c r="F62" s="60">
        <f>E78</f>
        <v>608.4237624461258</v>
      </c>
      <c r="G62" s="59"/>
      <c r="H62" s="90"/>
      <c r="I62" s="71"/>
      <c r="J62" s="71"/>
    </row>
    <row r="63" spans="1:10" s="83" customFormat="1" ht="12.75">
      <c r="A63" s="2" t="s">
        <v>38</v>
      </c>
      <c r="B63" s="2"/>
      <c r="C63" s="25"/>
      <c r="D63" s="2"/>
      <c r="E63" s="35"/>
      <c r="F63" s="60">
        <f>D78</f>
        <v>891.5762375538742</v>
      </c>
      <c r="G63" s="59"/>
      <c r="H63" s="90"/>
      <c r="I63" s="71"/>
      <c r="J63" s="71"/>
    </row>
    <row r="64" spans="1:10" s="83" customFormat="1" ht="12.75">
      <c r="A64" s="2" t="s">
        <v>37</v>
      </c>
      <c r="B64" s="2"/>
      <c r="C64" s="25"/>
      <c r="D64" s="2"/>
      <c r="E64" s="35"/>
      <c r="F64" s="58">
        <f>(F62+F63)*0.2</f>
        <v>300</v>
      </c>
      <c r="G64" s="59"/>
      <c r="H64" s="90"/>
      <c r="I64" s="71"/>
      <c r="J64" s="71"/>
    </row>
    <row r="65" spans="1:10" s="83" customFormat="1" ht="12.75">
      <c r="A65" s="36" t="s">
        <v>21</v>
      </c>
      <c r="B65" s="36"/>
      <c r="C65" s="2"/>
      <c r="D65" s="36" t="s">
        <v>21</v>
      </c>
      <c r="E65" s="36"/>
      <c r="F65" s="30"/>
      <c r="G65" s="30"/>
      <c r="H65" s="90"/>
      <c r="I65" s="71"/>
      <c r="J65" s="71"/>
    </row>
    <row r="66" spans="4:10" s="83" customFormat="1" ht="12.75">
      <c r="D66" s="89"/>
      <c r="F66" s="71"/>
      <c r="G66" s="71"/>
      <c r="H66" s="90"/>
      <c r="I66" s="71"/>
      <c r="J66" s="71"/>
    </row>
    <row r="67" spans="1:7" ht="12.75">
      <c r="A67" s="25"/>
      <c r="B67" s="25"/>
      <c r="C67" s="38">
        <v>71</v>
      </c>
      <c r="D67" s="25">
        <v>1500</v>
      </c>
      <c r="E67" s="25"/>
      <c r="F67" s="25">
        <v>750</v>
      </c>
      <c r="G67" s="25"/>
    </row>
    <row r="68" spans="1:8" ht="15.75">
      <c r="A68" s="25">
        <v>4800</v>
      </c>
      <c r="B68" s="25" t="s">
        <v>39</v>
      </c>
      <c r="C68" s="39" t="s">
        <v>25</v>
      </c>
      <c r="D68" s="31" t="s">
        <v>40</v>
      </c>
      <c r="E68" s="12" t="s">
        <v>39</v>
      </c>
      <c r="F68" s="31" t="s">
        <v>41</v>
      </c>
      <c r="G68" s="25" t="s">
        <v>16</v>
      </c>
      <c r="H68" s="25">
        <v>75000</v>
      </c>
    </row>
    <row r="69" spans="1:7" ht="14.25">
      <c r="A69" s="25"/>
      <c r="B69" s="25"/>
      <c r="C69" s="38" t="s">
        <v>26</v>
      </c>
      <c r="D69" s="25" t="s">
        <v>27</v>
      </c>
      <c r="E69" s="25"/>
      <c r="F69" s="25" t="s">
        <v>78</v>
      </c>
      <c r="G69" s="25"/>
    </row>
    <row r="71" spans="1:4" ht="12.75">
      <c r="A71" s="41" t="s">
        <v>29</v>
      </c>
      <c r="B71" s="65">
        <v>0.012700516092676932</v>
      </c>
      <c r="C71" s="66">
        <f>(B71+1)^4-1</f>
        <v>0.05177810357445067</v>
      </c>
      <c r="D71" s="2" t="s">
        <v>46</v>
      </c>
    </row>
    <row r="73" spans="1:8" ht="12.75">
      <c r="A73" s="25">
        <v>4800</v>
      </c>
      <c r="B73" s="25" t="s">
        <v>39</v>
      </c>
      <c r="D73" s="62">
        <f>PV(B71,71,-1500)</f>
        <v>69897.70837047762</v>
      </c>
      <c r="E73" s="45" t="s">
        <v>39</v>
      </c>
      <c r="F73" s="63">
        <f>750/(1+B71)^72</f>
        <v>302.2922474463708</v>
      </c>
      <c r="G73" s="25" t="s">
        <v>16</v>
      </c>
      <c r="H73" s="25">
        <v>75000</v>
      </c>
    </row>
    <row r="74" spans="1:8" ht="12.75">
      <c r="A74" s="25"/>
      <c r="B74" s="25"/>
      <c r="D74" s="61"/>
      <c r="E74" s="64">
        <f>D73+F73</f>
        <v>70200.00061792399</v>
      </c>
      <c r="F74" s="46"/>
      <c r="G74" s="25"/>
      <c r="H74" s="25"/>
    </row>
    <row r="77" spans="2:6" ht="12.75">
      <c r="B77" s="44" t="s">
        <v>31</v>
      </c>
      <c r="C77" s="44" t="s">
        <v>30</v>
      </c>
      <c r="D77" s="44" t="s">
        <v>32</v>
      </c>
      <c r="E77" s="44" t="s">
        <v>33</v>
      </c>
      <c r="F77" s="44" t="s">
        <v>34</v>
      </c>
    </row>
    <row r="78" spans="2:7" ht="12.75">
      <c r="B78" s="2">
        <v>1</v>
      </c>
      <c r="C78" s="2">
        <v>1500</v>
      </c>
      <c r="D78" s="40">
        <f>B71*E74</f>
        <v>891.5762375538742</v>
      </c>
      <c r="E78" s="40">
        <f>C78-D78</f>
        <v>608.4237624461258</v>
      </c>
      <c r="F78" s="42">
        <f>E74-E78</f>
        <v>69591.57685547786</v>
      </c>
      <c r="G78" s="93">
        <v>39263</v>
      </c>
    </row>
    <row r="79" spans="2:7" ht="12.75">
      <c r="B79" s="2">
        <f>+B78+1</f>
        <v>2</v>
      </c>
      <c r="C79" s="2">
        <v>1500</v>
      </c>
      <c r="D79" s="40">
        <f>$B$71*F78</f>
        <v>883.8489417677602</v>
      </c>
      <c r="E79" s="40">
        <f>C79-D79</f>
        <v>616.1510582322398</v>
      </c>
      <c r="F79" s="42">
        <f>+F78-E79</f>
        <v>68975.42579724563</v>
      </c>
      <c r="G79" s="93">
        <v>39355</v>
      </c>
    </row>
    <row r="80" spans="2:7" ht="12.75">
      <c r="B80" s="2">
        <f aca="true" t="shared" si="0" ref="B80:B128">+B79+1</f>
        <v>3</v>
      </c>
      <c r="C80" s="2">
        <v>1500</v>
      </c>
      <c r="D80" s="40">
        <f aca="true" t="shared" si="1" ref="D80:D127">$B$71*F79</f>
        <v>876.0235053371617</v>
      </c>
      <c r="E80" s="40">
        <f aca="true" t="shared" si="2" ref="E80:E127">C80-D80</f>
        <v>623.9764946628383</v>
      </c>
      <c r="F80" s="42">
        <f aca="true" t="shared" si="3" ref="F80:F128">+F79-E80</f>
        <v>68351.44930258278</v>
      </c>
      <c r="G80" s="93">
        <v>39447</v>
      </c>
    </row>
    <row r="81" spans="2:7" ht="12.75">
      <c r="B81" s="2">
        <f t="shared" si="0"/>
        <v>4</v>
      </c>
      <c r="C81" s="2">
        <v>1500</v>
      </c>
      <c r="D81" s="40">
        <f t="shared" si="1"/>
        <v>868.0986818252442</v>
      </c>
      <c r="E81" s="40">
        <f t="shared" si="2"/>
        <v>631.9013181747558</v>
      </c>
      <c r="F81" s="42">
        <f t="shared" si="3"/>
        <v>67719.54798440803</v>
      </c>
      <c r="G81" s="93"/>
    </row>
    <row r="82" spans="2:6" ht="12.75">
      <c r="B82" s="2">
        <f t="shared" si="0"/>
        <v>5</v>
      </c>
      <c r="C82" s="2">
        <v>1500</v>
      </c>
      <c r="D82" s="40">
        <f t="shared" si="1"/>
        <v>860.0732089647819</v>
      </c>
      <c r="E82" s="40">
        <f t="shared" si="2"/>
        <v>639.9267910352181</v>
      </c>
      <c r="F82" s="42">
        <f t="shared" si="3"/>
        <v>67079.6211933728</v>
      </c>
    </row>
    <row r="83" spans="2:6" ht="12.75">
      <c r="B83" s="2">
        <f t="shared" si="0"/>
        <v>6</v>
      </c>
      <c r="C83" s="2">
        <v>1500</v>
      </c>
      <c r="D83" s="40">
        <f t="shared" si="1"/>
        <v>851.9458084571039</v>
      </c>
      <c r="E83" s="40">
        <f t="shared" si="2"/>
        <v>648.0541915428961</v>
      </c>
      <c r="F83" s="42">
        <f t="shared" si="3"/>
        <v>66431.56700182991</v>
      </c>
    </row>
    <row r="84" spans="2:6" ht="12.75">
      <c r="B84" s="2">
        <f t="shared" si="0"/>
        <v>7</v>
      </c>
      <c r="C84" s="2">
        <v>1500</v>
      </c>
      <c r="D84" s="40">
        <f t="shared" si="1"/>
        <v>843.7151857684867</v>
      </c>
      <c r="E84" s="40">
        <f t="shared" si="2"/>
        <v>656.2848142315133</v>
      </c>
      <c r="F84" s="42">
        <f t="shared" si="3"/>
        <v>65775.2821875984</v>
      </c>
    </row>
    <row r="85" spans="2:6" ht="12.75">
      <c r="B85" s="2">
        <f t="shared" si="0"/>
        <v>8</v>
      </c>
      <c r="C85" s="2">
        <v>1500</v>
      </c>
      <c r="D85" s="40">
        <f t="shared" si="1"/>
        <v>835.3800299239598</v>
      </c>
      <c r="E85" s="40">
        <f t="shared" si="2"/>
        <v>664.6199700760402</v>
      </c>
      <c r="F85" s="42">
        <f t="shared" si="3"/>
        <v>65110.66221752235</v>
      </c>
    </row>
    <row r="86" spans="2:6" ht="12.75">
      <c r="B86" s="2">
        <f t="shared" si="0"/>
        <v>9</v>
      </c>
      <c r="C86" s="2">
        <v>1500</v>
      </c>
      <c r="D86" s="40">
        <f t="shared" si="1"/>
        <v>826.9390132984946</v>
      </c>
      <c r="E86" s="40">
        <f t="shared" si="2"/>
        <v>673.0609867015054</v>
      </c>
      <c r="F86" s="42">
        <f t="shared" si="3"/>
        <v>64437.601230820845</v>
      </c>
    </row>
    <row r="87" spans="2:6" ht="12.75">
      <c r="B87" s="2">
        <f t="shared" si="0"/>
        <v>10</v>
      </c>
      <c r="C87" s="2">
        <v>1500</v>
      </c>
      <c r="D87" s="40">
        <f t="shared" si="1"/>
        <v>818.3907914055391</v>
      </c>
      <c r="E87" s="40">
        <f t="shared" si="2"/>
        <v>681.6092085944609</v>
      </c>
      <c r="F87" s="42">
        <f t="shared" si="3"/>
        <v>63755.99202222638</v>
      </c>
    </row>
    <row r="88" spans="2:6" ht="12.75">
      <c r="B88" s="2">
        <f t="shared" si="0"/>
        <v>11</v>
      </c>
      <c r="C88" s="2">
        <v>1500</v>
      </c>
      <c r="D88" s="40">
        <f t="shared" si="1"/>
        <v>809.7340026828683</v>
      </c>
      <c r="E88" s="40">
        <f t="shared" si="2"/>
        <v>690.2659973171317</v>
      </c>
      <c r="F88" s="42">
        <f t="shared" si="3"/>
        <v>63065.72602490925</v>
      </c>
    </row>
    <row r="89" spans="2:6" ht="12.75">
      <c r="B89" s="2">
        <f t="shared" si="0"/>
        <v>12</v>
      </c>
      <c r="C89" s="2">
        <v>1500</v>
      </c>
      <c r="D89" s="40">
        <f t="shared" si="1"/>
        <v>800.9672682757143</v>
      </c>
      <c r="E89" s="40">
        <f t="shared" si="2"/>
        <v>699.0327317242857</v>
      </c>
      <c r="F89" s="42">
        <f t="shared" si="3"/>
        <v>62366.693293184966</v>
      </c>
    </row>
    <row r="90" spans="2:6" ht="12.75">
      <c r="B90" s="2">
        <f t="shared" si="0"/>
        <v>13</v>
      </c>
      <c r="C90" s="2">
        <v>1500</v>
      </c>
      <c r="D90" s="40">
        <f t="shared" si="1"/>
        <v>792.0891918171421</v>
      </c>
      <c r="E90" s="40">
        <f t="shared" si="2"/>
        <v>707.9108081828579</v>
      </c>
      <c r="F90" s="42">
        <f t="shared" si="3"/>
        <v>61658.782485002106</v>
      </c>
    </row>
    <row r="91" spans="2:6" ht="12.75">
      <c r="B91" s="2">
        <f t="shared" si="0"/>
        <v>14</v>
      </c>
      <c r="C91" s="2">
        <v>1500</v>
      </c>
      <c r="D91" s="40">
        <f t="shared" si="1"/>
        <v>783.0983592056358</v>
      </c>
      <c r="E91" s="40">
        <f t="shared" si="2"/>
        <v>716.9016407943642</v>
      </c>
      <c r="F91" s="42">
        <f t="shared" si="3"/>
        <v>60941.88084420774</v>
      </c>
    </row>
    <row r="92" spans="2:6" ht="12.75">
      <c r="B92" s="2">
        <f t="shared" si="0"/>
        <v>15</v>
      </c>
      <c r="C92" s="2">
        <v>1500</v>
      </c>
      <c r="D92" s="40">
        <f t="shared" si="1"/>
        <v>773.9933383798605</v>
      </c>
      <c r="E92" s="40">
        <f t="shared" si="2"/>
        <v>726.0066616201395</v>
      </c>
      <c r="F92" s="42">
        <f t="shared" si="3"/>
        <v>60215.874182587606</v>
      </c>
    </row>
    <row r="93" spans="2:6" ht="12.75">
      <c r="B93" s="2">
        <f t="shared" si="0"/>
        <v>16</v>
      </c>
      <c r="C93" s="2">
        <v>1500</v>
      </c>
      <c r="D93" s="40">
        <f t="shared" si="1"/>
        <v>764.7726790905633</v>
      </c>
      <c r="E93" s="40">
        <f t="shared" si="2"/>
        <v>735.2273209094367</v>
      </c>
      <c r="F93" s="42">
        <f t="shared" si="3"/>
        <v>59480.64686167817</v>
      </c>
    </row>
    <row r="94" spans="2:6" ht="12.75">
      <c r="B94" s="2">
        <f t="shared" si="0"/>
        <v>17</v>
      </c>
      <c r="C94" s="2">
        <v>1500</v>
      </c>
      <c r="D94" s="40">
        <f t="shared" si="1"/>
        <v>755.4349126695773</v>
      </c>
      <c r="E94" s="40">
        <f t="shared" si="2"/>
        <v>744.5650873304227</v>
      </c>
      <c r="F94" s="42">
        <f t="shared" si="3"/>
        <v>58736.081774347746</v>
      </c>
    </row>
    <row r="95" spans="2:6" ht="12.75">
      <c r="B95" s="2">
        <f t="shared" si="0"/>
        <v>18</v>
      </c>
      <c r="C95" s="2">
        <v>1500</v>
      </c>
      <c r="D95" s="40">
        <f t="shared" si="1"/>
        <v>745.9785517958918</v>
      </c>
      <c r="E95" s="40">
        <f t="shared" si="2"/>
        <v>754.0214482041082</v>
      </c>
      <c r="F95" s="42">
        <f t="shared" si="3"/>
        <v>57982.06032614364</v>
      </c>
    </row>
    <row r="96" spans="2:6" ht="12.75">
      <c r="B96" s="2">
        <f t="shared" si="0"/>
        <v>19</v>
      </c>
      <c r="C96" s="2">
        <v>1500</v>
      </c>
      <c r="D96" s="40">
        <f t="shared" si="1"/>
        <v>736.402090258752</v>
      </c>
      <c r="E96" s="40">
        <f t="shared" si="2"/>
        <v>763.597909741248</v>
      </c>
      <c r="F96" s="42">
        <f t="shared" si="3"/>
        <v>57218.46241640239</v>
      </c>
    </row>
    <row r="97" spans="2:6" ht="12.75">
      <c r="B97" s="2">
        <f t="shared" si="0"/>
        <v>20</v>
      </c>
      <c r="C97" s="2">
        <v>1500</v>
      </c>
      <c r="D97" s="40">
        <f t="shared" si="1"/>
        <v>726.7040027177488</v>
      </c>
      <c r="E97" s="40">
        <f t="shared" si="2"/>
        <v>773.2959972822512</v>
      </c>
      <c r="F97" s="42">
        <f t="shared" si="3"/>
        <v>56445.16641912014</v>
      </c>
    </row>
    <row r="98" spans="2:6" ht="12.75">
      <c r="B98" s="2">
        <f t="shared" si="0"/>
        <v>21</v>
      </c>
      <c r="C98" s="2">
        <v>1500</v>
      </c>
      <c r="D98" s="40">
        <f t="shared" si="1"/>
        <v>716.8827444598629</v>
      </c>
      <c r="E98" s="40">
        <f t="shared" si="2"/>
        <v>783.1172555401371</v>
      </c>
      <c r="F98" s="42">
        <f t="shared" si="3"/>
        <v>55662.049163580006</v>
      </c>
    </row>
    <row r="99" spans="2:6" ht="12.75">
      <c r="B99" s="2">
        <f t="shared" si="0"/>
        <v>22</v>
      </c>
      <c r="C99" s="2">
        <v>1500</v>
      </c>
      <c r="D99" s="40">
        <f t="shared" si="1"/>
        <v>706.9367511534225</v>
      </c>
      <c r="E99" s="40">
        <f t="shared" si="2"/>
        <v>793.0632488465775</v>
      </c>
      <c r="F99" s="42">
        <f t="shared" si="3"/>
        <v>54868.98591473343</v>
      </c>
    </row>
    <row r="100" spans="2:6" ht="12.75">
      <c r="B100" s="2">
        <f t="shared" si="0"/>
        <v>23</v>
      </c>
      <c r="C100" s="2">
        <v>1500</v>
      </c>
      <c r="D100" s="40">
        <f t="shared" si="1"/>
        <v>696.8644385989359</v>
      </c>
      <c r="E100" s="40">
        <f t="shared" si="2"/>
        <v>803.1355614010641</v>
      </c>
      <c r="F100" s="42">
        <f t="shared" si="3"/>
        <v>54065.85035333237</v>
      </c>
    </row>
    <row r="101" spans="2:6" ht="12.75">
      <c r="B101" s="2">
        <f t="shared" si="0"/>
        <v>24</v>
      </c>
      <c r="C101" s="2">
        <v>1500</v>
      </c>
      <c r="D101" s="40">
        <f t="shared" si="1"/>
        <v>686.6642024767606</v>
      </c>
      <c r="E101" s="40">
        <f t="shared" si="2"/>
        <v>813.3357975232394</v>
      </c>
      <c r="F101" s="42">
        <f t="shared" si="3"/>
        <v>53252.514555809124</v>
      </c>
    </row>
    <row r="102" spans="2:6" ht="12.75">
      <c r="B102" s="2">
        <f t="shared" si="0"/>
        <v>25</v>
      </c>
      <c r="C102" s="2">
        <v>1500</v>
      </c>
      <c r="D102" s="40">
        <f t="shared" si="1"/>
        <v>676.3344180915664</v>
      </c>
      <c r="E102" s="40">
        <f t="shared" si="2"/>
        <v>823.6655819084336</v>
      </c>
      <c r="F102" s="42">
        <f t="shared" si="3"/>
        <v>52428.84897390069</v>
      </c>
    </row>
    <row r="103" spans="2:6" ht="12.75">
      <c r="B103" s="2">
        <f t="shared" si="0"/>
        <v>26</v>
      </c>
      <c r="C103" s="2">
        <v>1500</v>
      </c>
      <c r="D103" s="40">
        <f t="shared" si="1"/>
        <v>665.8734401135542</v>
      </c>
      <c r="E103" s="40">
        <f t="shared" si="2"/>
        <v>834.1265598864458</v>
      </c>
      <c r="F103" s="42">
        <f t="shared" si="3"/>
        <v>51594.72241401424</v>
      </c>
    </row>
    <row r="104" spans="2:6" ht="12.75">
      <c r="B104" s="2">
        <f t="shared" si="0"/>
        <v>27</v>
      </c>
      <c r="C104" s="2">
        <v>1500</v>
      </c>
      <c r="D104" s="40">
        <f t="shared" si="1"/>
        <v>655.2796023163871</v>
      </c>
      <c r="E104" s="40">
        <f t="shared" si="2"/>
        <v>844.7203976836129</v>
      </c>
      <c r="F104" s="42">
        <f t="shared" si="3"/>
        <v>50750.00201633063</v>
      </c>
    </row>
    <row r="105" spans="2:6" ht="12.75">
      <c r="B105" s="2">
        <f t="shared" si="0"/>
        <v>28</v>
      </c>
      <c r="C105" s="2">
        <v>1500</v>
      </c>
      <c r="D105" s="40">
        <f t="shared" si="1"/>
        <v>644.551217311794</v>
      </c>
      <c r="E105" s="40">
        <f t="shared" si="2"/>
        <v>855.448782688206</v>
      </c>
      <c r="F105" s="42">
        <f t="shared" si="3"/>
        <v>49894.55323364243</v>
      </c>
    </row>
    <row r="106" spans="2:6" ht="12.75">
      <c r="B106" s="2">
        <f t="shared" si="0"/>
        <v>29</v>
      </c>
      <c r="C106" s="2">
        <v>1500</v>
      </c>
      <c r="D106" s="40">
        <f t="shared" si="1"/>
        <v>633.6865762808015</v>
      </c>
      <c r="E106" s="40">
        <f t="shared" si="2"/>
        <v>866.3134237191985</v>
      </c>
      <c r="F106" s="42">
        <f t="shared" si="3"/>
        <v>49028.23980992323</v>
      </c>
    </row>
    <row r="107" spans="2:6" ht="12.75">
      <c r="B107" s="2">
        <f t="shared" si="0"/>
        <v>30</v>
      </c>
      <c r="C107" s="2">
        <v>1500</v>
      </c>
      <c r="D107" s="40">
        <f t="shared" si="1"/>
        <v>622.6839487015538</v>
      </c>
      <c r="E107" s="40">
        <f t="shared" si="2"/>
        <v>877.3160512984462</v>
      </c>
      <c r="F107" s="42">
        <f t="shared" si="3"/>
        <v>48150.923758624784</v>
      </c>
    </row>
    <row r="108" spans="2:6" ht="12.75">
      <c r="B108" s="2">
        <f t="shared" si="0"/>
        <v>31</v>
      </c>
      <c r="C108" s="2">
        <v>1500</v>
      </c>
      <c r="D108" s="40">
        <f t="shared" si="1"/>
        <v>611.5415820736741</v>
      </c>
      <c r="E108" s="40">
        <f t="shared" si="2"/>
        <v>888.4584179263259</v>
      </c>
      <c r="F108" s="42">
        <f t="shared" si="3"/>
        <v>47262.46534069846</v>
      </c>
    </row>
    <row r="109" spans="2:6" ht="12.75">
      <c r="B109" s="2">
        <f t="shared" si="0"/>
        <v>32</v>
      </c>
      <c r="C109" s="2">
        <v>1500</v>
      </c>
      <c r="D109" s="40">
        <f t="shared" si="1"/>
        <v>600.2577016391265</v>
      </c>
      <c r="E109" s="40">
        <f t="shared" si="2"/>
        <v>899.7422983608735</v>
      </c>
      <c r="F109" s="42">
        <f t="shared" si="3"/>
        <v>46362.72304233759</v>
      </c>
    </row>
    <row r="110" spans="2:6" ht="12.75">
      <c r="B110" s="2">
        <f t="shared" si="0"/>
        <v>33</v>
      </c>
      <c r="C110" s="2">
        <v>1500</v>
      </c>
      <c r="D110" s="40">
        <f t="shared" si="1"/>
        <v>588.8305100995321</v>
      </c>
      <c r="E110" s="40">
        <f t="shared" si="2"/>
        <v>911.1694899004679</v>
      </c>
      <c r="F110" s="42">
        <f t="shared" si="3"/>
        <v>45451.55355243712</v>
      </c>
    </row>
    <row r="111" spans="2:6" ht="12.75">
      <c r="B111" s="2">
        <f t="shared" si="0"/>
        <v>34</v>
      </c>
      <c r="C111" s="2">
        <v>1500</v>
      </c>
      <c r="D111" s="40">
        <f t="shared" si="1"/>
        <v>577.2581873298951</v>
      </c>
      <c r="E111" s="40">
        <f t="shared" si="2"/>
        <v>922.7418126701049</v>
      </c>
      <c r="F111" s="42">
        <f t="shared" si="3"/>
        <v>44528.81173976702</v>
      </c>
    </row>
    <row r="112" spans="2:6" ht="12.75">
      <c r="B112" s="2">
        <f t="shared" si="0"/>
        <v>35</v>
      </c>
      <c r="C112" s="2">
        <v>1500</v>
      </c>
      <c r="D112" s="40">
        <f t="shared" si="1"/>
        <v>565.5388900886926</v>
      </c>
      <c r="E112" s="40">
        <f t="shared" si="2"/>
        <v>934.4611099113074</v>
      </c>
      <c r="F112" s="42">
        <f t="shared" si="3"/>
        <v>43594.35062985571</v>
      </c>
    </row>
    <row r="113" spans="2:6" ht="12.75">
      <c r="B113" s="2">
        <f t="shared" si="0"/>
        <v>36</v>
      </c>
      <c r="C113" s="2">
        <v>1500</v>
      </c>
      <c r="D113" s="40">
        <f t="shared" si="1"/>
        <v>553.6707517242833</v>
      </c>
      <c r="E113" s="40">
        <f t="shared" si="2"/>
        <v>946.3292482757167</v>
      </c>
      <c r="F113" s="42">
        <f t="shared" si="3"/>
        <v>42648.021381579994</v>
      </c>
    </row>
    <row r="114" spans="2:6" ht="12.75">
      <c r="B114" s="2">
        <f t="shared" si="0"/>
        <v>37</v>
      </c>
      <c r="C114" s="2">
        <v>1500</v>
      </c>
      <c r="D114" s="40">
        <f t="shared" si="1"/>
        <v>541.6518818775866</v>
      </c>
      <c r="E114" s="40">
        <f t="shared" si="2"/>
        <v>958.3481181224134</v>
      </c>
      <c r="F114" s="42">
        <f t="shared" si="3"/>
        <v>41689.67326345758</v>
      </c>
    </row>
    <row r="115" spans="2:6" ht="12.75">
      <c r="B115" s="2">
        <f t="shared" si="0"/>
        <v>38</v>
      </c>
      <c r="C115" s="2">
        <v>1500</v>
      </c>
      <c r="D115" s="40">
        <f t="shared" si="1"/>
        <v>529.4803661809863</v>
      </c>
      <c r="E115" s="40">
        <f t="shared" si="2"/>
        <v>970.5196338190137</v>
      </c>
      <c r="F115" s="42">
        <f t="shared" si="3"/>
        <v>40719.15362963857</v>
      </c>
    </row>
    <row r="116" spans="2:6" ht="12.75">
      <c r="B116" s="2">
        <f t="shared" si="0"/>
        <v>39</v>
      </c>
      <c r="C116" s="2">
        <v>1500</v>
      </c>
      <c r="D116" s="40">
        <f t="shared" si="1"/>
        <v>517.154265953409</v>
      </c>
      <c r="E116" s="40">
        <f t="shared" si="2"/>
        <v>982.845734046591</v>
      </c>
      <c r="F116" s="42">
        <f t="shared" si="3"/>
        <v>39736.30789559198</v>
      </c>
    </row>
    <row r="117" spans="2:6" ht="12.75">
      <c r="B117" s="2">
        <f t="shared" si="0"/>
        <v>40</v>
      </c>
      <c r="C117" s="2">
        <v>1500</v>
      </c>
      <c r="D117" s="40">
        <f t="shared" si="1"/>
        <v>504.67161789153135</v>
      </c>
      <c r="E117" s="40">
        <f t="shared" si="2"/>
        <v>995.3283821084686</v>
      </c>
      <c r="F117" s="42">
        <f t="shared" si="3"/>
        <v>38740.97951348351</v>
      </c>
    </row>
    <row r="118" spans="2:6" ht="12.75">
      <c r="B118" s="2">
        <f t="shared" si="0"/>
        <v>41</v>
      </c>
      <c r="C118" s="2">
        <v>1500</v>
      </c>
      <c r="D118" s="40">
        <f t="shared" si="1"/>
        <v>492.03043375706466</v>
      </c>
      <c r="E118" s="40">
        <f t="shared" si="2"/>
        <v>1007.9695662429353</v>
      </c>
      <c r="F118" s="42">
        <f t="shared" si="3"/>
        <v>37733.00994724057</v>
      </c>
    </row>
    <row r="119" spans="2:6" ht="12.75">
      <c r="B119" s="2">
        <f t="shared" si="0"/>
        <v>42</v>
      </c>
      <c r="C119" s="2">
        <v>1500</v>
      </c>
      <c r="D119" s="40">
        <f t="shared" si="1"/>
        <v>479.22870006006764</v>
      </c>
      <c r="E119" s="40">
        <f t="shared" si="2"/>
        <v>1020.7712999399323</v>
      </c>
      <c r="F119" s="42">
        <f t="shared" si="3"/>
        <v>36712.23864730064</v>
      </c>
    </row>
    <row r="120" spans="2:6" ht="12.75">
      <c r="B120" s="2">
        <f t="shared" si="0"/>
        <v>43</v>
      </c>
      <c r="C120" s="2">
        <v>1500</v>
      </c>
      <c r="D120" s="40">
        <f t="shared" si="1"/>
        <v>466.2643777382378</v>
      </c>
      <c r="E120" s="40">
        <f t="shared" si="2"/>
        <v>1033.7356222617623</v>
      </c>
      <c r="F120" s="42">
        <f t="shared" si="3"/>
        <v>35678.50302503888</v>
      </c>
    </row>
    <row r="121" spans="2:6" ht="12.75">
      <c r="B121" s="2">
        <f t="shared" si="0"/>
        <v>44</v>
      </c>
      <c r="C121" s="2">
        <v>1500</v>
      </c>
      <c r="D121" s="40">
        <f t="shared" si="1"/>
        <v>453.13540183212893</v>
      </c>
      <c r="E121" s="40">
        <f t="shared" si="2"/>
        <v>1046.864598167871</v>
      </c>
      <c r="F121" s="42">
        <f t="shared" si="3"/>
        <v>34631.63842687101</v>
      </c>
    </row>
    <row r="122" spans="2:6" ht="12.75">
      <c r="B122" s="2">
        <f t="shared" si="0"/>
        <v>45</v>
      </c>
      <c r="C122" s="2">
        <v>1500</v>
      </c>
      <c r="D122" s="40">
        <f t="shared" si="1"/>
        <v>439.8396811562441</v>
      </c>
      <c r="E122" s="40">
        <f t="shared" si="2"/>
        <v>1060.160318843756</v>
      </c>
      <c r="F122" s="42">
        <f t="shared" si="3"/>
        <v>33571.47810802725</v>
      </c>
    </row>
    <row r="123" spans="2:6" ht="12.75">
      <c r="B123" s="2">
        <f t="shared" si="0"/>
        <v>46</v>
      </c>
      <c r="C123" s="2">
        <v>1500</v>
      </c>
      <c r="D123" s="40">
        <f t="shared" si="1"/>
        <v>426.37509796595145</v>
      </c>
      <c r="E123" s="40">
        <f t="shared" si="2"/>
        <v>1073.6249020340485</v>
      </c>
      <c r="F123" s="42">
        <f t="shared" si="3"/>
        <v>32497.853205993204</v>
      </c>
    </row>
    <row r="124" spans="2:6" ht="12.75">
      <c r="B124" s="2">
        <f t="shared" si="0"/>
        <v>47</v>
      </c>
      <c r="C124" s="2">
        <v>1500</v>
      </c>
      <c r="D124" s="40">
        <f t="shared" si="1"/>
        <v>412.7395076201693</v>
      </c>
      <c r="E124" s="40">
        <f t="shared" si="2"/>
        <v>1087.2604923798308</v>
      </c>
      <c r="F124" s="42">
        <f t="shared" si="3"/>
        <v>31410.592713613372</v>
      </c>
    </row>
    <row r="125" spans="2:6" ht="12.75">
      <c r="B125" s="2">
        <f t="shared" si="0"/>
        <v>48</v>
      </c>
      <c r="C125" s="2">
        <v>1500</v>
      </c>
      <c r="D125" s="40">
        <f t="shared" si="1"/>
        <v>398.93073823976744</v>
      </c>
      <c r="E125" s="40">
        <f t="shared" si="2"/>
        <v>1101.0692617602326</v>
      </c>
      <c r="F125" s="42">
        <f t="shared" si="3"/>
        <v>30309.52345185314</v>
      </c>
    </row>
    <row r="126" spans="2:6" ht="12.75">
      <c r="B126" s="2">
        <f t="shared" si="0"/>
        <v>49</v>
      </c>
      <c r="C126" s="2">
        <v>1500</v>
      </c>
      <c r="D126" s="40">
        <f t="shared" si="1"/>
        <v>384.94659036162966</v>
      </c>
      <c r="E126" s="40">
        <f t="shared" si="2"/>
        <v>1115.0534096383703</v>
      </c>
      <c r="F126" s="42">
        <f t="shared" si="3"/>
        <v>29194.47004221477</v>
      </c>
    </row>
    <row r="127" spans="2:6" ht="12.75">
      <c r="B127" s="2">
        <f t="shared" si="0"/>
        <v>50</v>
      </c>
      <c r="C127" s="2">
        <v>1500</v>
      </c>
      <c r="D127" s="40">
        <f t="shared" si="1"/>
        <v>370.7848365883233</v>
      </c>
      <c r="E127" s="40">
        <f t="shared" si="2"/>
        <v>1129.2151634116767</v>
      </c>
      <c r="F127" s="42">
        <f t="shared" si="3"/>
        <v>28065.25487880309</v>
      </c>
    </row>
    <row r="128" spans="2:6" ht="12.75">
      <c r="B128" s="2">
        <f t="shared" si="0"/>
        <v>51</v>
      </c>
      <c r="C128" s="2">
        <v>1500</v>
      </c>
      <c r="D128" s="40">
        <f>$B$71*F127</f>
        <v>356.44322123331847</v>
      </c>
      <c r="E128" s="40">
        <f>C128-D128</f>
        <v>1143.5567787666814</v>
      </c>
      <c r="F128" s="42">
        <f t="shared" si="3"/>
        <v>26921.69810003641</v>
      </c>
    </row>
    <row r="129" spans="2:6" ht="12.75">
      <c r="B129" s="2">
        <f aca="true" t="shared" si="4" ref="B129:B149">+B128+1</f>
        <v>52</v>
      </c>
      <c r="C129" s="2">
        <v>1500</v>
      </c>
      <c r="D129" s="40">
        <f aca="true" t="shared" si="5" ref="D129:D149">$B$71*F128</f>
        <v>341.91945996170244</v>
      </c>
      <c r="E129" s="40">
        <f aca="true" t="shared" si="6" ref="E129:E149">C129-D129</f>
        <v>1158.0805400382976</v>
      </c>
      <c r="F129" s="42">
        <f aca="true" t="shared" si="7" ref="F129:F149">+F128-E129</f>
        <v>25763.617559998114</v>
      </c>
    </row>
    <row r="130" spans="2:6" ht="12.75">
      <c r="B130" s="2">
        <f t="shared" si="4"/>
        <v>53</v>
      </c>
      <c r="C130" s="2">
        <v>1500</v>
      </c>
      <c r="D130" s="40">
        <f t="shared" si="5"/>
        <v>327.21123942633005</v>
      </c>
      <c r="E130" s="40">
        <f t="shared" si="6"/>
        <v>1172.78876057367</v>
      </c>
      <c r="F130" s="42">
        <f t="shared" si="7"/>
        <v>24590.828799424446</v>
      </c>
    </row>
    <row r="131" spans="2:6" ht="12.75">
      <c r="B131" s="2">
        <f t="shared" si="4"/>
        <v>54</v>
      </c>
      <c r="C131" s="2">
        <v>1500</v>
      </c>
      <c r="D131" s="40">
        <f t="shared" si="5"/>
        <v>312.31621689935355</v>
      </c>
      <c r="E131" s="40">
        <f t="shared" si="6"/>
        <v>1187.6837831006465</v>
      </c>
      <c r="F131" s="42">
        <f t="shared" si="7"/>
        <v>23403.1450163238</v>
      </c>
    </row>
    <row r="132" spans="2:6" ht="12.75">
      <c r="B132" s="2">
        <f t="shared" si="4"/>
        <v>55</v>
      </c>
      <c r="C132" s="2">
        <v>1500</v>
      </c>
      <c r="D132" s="40">
        <f t="shared" si="5"/>
        <v>297.2320198990724</v>
      </c>
      <c r="E132" s="40">
        <f t="shared" si="6"/>
        <v>1202.7679801009276</v>
      </c>
      <c r="F132" s="42">
        <f t="shared" si="7"/>
        <v>22200.37703622287</v>
      </c>
    </row>
    <row r="133" spans="2:6" ht="12.75">
      <c r="B133" s="2">
        <f t="shared" si="4"/>
        <v>56</v>
      </c>
      <c r="C133" s="2">
        <v>1500</v>
      </c>
      <c r="D133" s="40">
        <f t="shared" si="5"/>
        <v>281.956245812044</v>
      </c>
      <c r="E133" s="40">
        <f t="shared" si="6"/>
        <v>1218.043754187956</v>
      </c>
      <c r="F133" s="42">
        <f t="shared" si="7"/>
        <v>20982.333282034917</v>
      </c>
    </row>
    <row r="134" spans="2:6" ht="12.75">
      <c r="B134" s="2">
        <f t="shared" si="4"/>
        <v>57</v>
      </c>
      <c r="C134" s="2">
        <v>1500</v>
      </c>
      <c r="D134" s="40">
        <f t="shared" si="5"/>
        <v>266.48646151039526</v>
      </c>
      <c r="E134" s="40">
        <f t="shared" si="6"/>
        <v>1233.5135384896048</v>
      </c>
      <c r="F134" s="42">
        <f t="shared" si="7"/>
        <v>19748.81974354531</v>
      </c>
    </row>
    <row r="135" spans="2:6" ht="12.75">
      <c r="B135" s="2">
        <f t="shared" si="4"/>
        <v>58</v>
      </c>
      <c r="C135" s="2">
        <v>1500</v>
      </c>
      <c r="D135" s="40">
        <f t="shared" si="5"/>
        <v>250.82020296427316</v>
      </c>
      <c r="E135" s="40">
        <f t="shared" si="6"/>
        <v>1249.1797970357268</v>
      </c>
      <c r="F135" s="42">
        <f t="shared" si="7"/>
        <v>18499.639946509586</v>
      </c>
    </row>
    <row r="136" spans="2:6" ht="12.75">
      <c r="B136" s="2">
        <f t="shared" si="4"/>
        <v>59</v>
      </c>
      <c r="C136" s="2">
        <v>1500</v>
      </c>
      <c r="D136" s="40">
        <f t="shared" si="5"/>
        <v>234.95497484937403</v>
      </c>
      <c r="E136" s="40">
        <f t="shared" si="6"/>
        <v>1265.0450251506259</v>
      </c>
      <c r="F136" s="42">
        <f t="shared" si="7"/>
        <v>17234.59492135896</v>
      </c>
    </row>
    <row r="137" spans="2:6" ht="12.75">
      <c r="B137" s="2">
        <f t="shared" si="4"/>
        <v>60</v>
      </c>
      <c r="C137" s="2">
        <v>1500</v>
      </c>
      <c r="D137" s="40">
        <f t="shared" si="5"/>
        <v>218.8882501494876</v>
      </c>
      <c r="E137" s="40">
        <f t="shared" si="6"/>
        <v>1281.1117498505123</v>
      </c>
      <c r="F137" s="42">
        <f t="shared" si="7"/>
        <v>15953.483171508447</v>
      </c>
    </row>
    <row r="138" spans="2:6" ht="12.75">
      <c r="B138" s="2">
        <f t="shared" si="4"/>
        <v>61</v>
      </c>
      <c r="C138" s="2">
        <v>1500</v>
      </c>
      <c r="D138" s="40">
        <f t="shared" si="5"/>
        <v>202.61746975399367</v>
      </c>
      <c r="E138" s="40">
        <f t="shared" si="6"/>
        <v>1297.3825302460064</v>
      </c>
      <c r="F138" s="42">
        <f t="shared" si="7"/>
        <v>14656.100641262441</v>
      </c>
    </row>
    <row r="139" spans="2:6" ht="12.75">
      <c r="B139" s="2">
        <f t="shared" si="4"/>
        <v>62</v>
      </c>
      <c r="C139" s="2">
        <v>1500</v>
      </c>
      <c r="D139" s="40">
        <f t="shared" si="5"/>
        <v>186.14004205024634</v>
      </c>
      <c r="E139" s="40">
        <f t="shared" si="6"/>
        <v>1313.8599579497536</v>
      </c>
      <c r="F139" s="42">
        <f t="shared" si="7"/>
        <v>13342.240683312688</v>
      </c>
    </row>
    <row r="140" spans="2:6" ht="12.75">
      <c r="B140" s="2">
        <f t="shared" si="4"/>
        <v>63</v>
      </c>
      <c r="C140" s="2">
        <v>1500</v>
      </c>
      <c r="D140" s="40">
        <f t="shared" si="5"/>
        <v>169.45334251078165</v>
      </c>
      <c r="E140" s="40">
        <f t="shared" si="6"/>
        <v>1330.5466574892184</v>
      </c>
      <c r="F140" s="42">
        <f t="shared" si="7"/>
        <v>12011.69402582347</v>
      </c>
    </row>
    <row r="141" spans="2:6" ht="12.75">
      <c r="B141" s="2">
        <f t="shared" si="4"/>
        <v>64</v>
      </c>
      <c r="C141" s="2">
        <v>1500</v>
      </c>
      <c r="D141" s="40">
        <f t="shared" si="5"/>
        <v>152.55471327528235</v>
      </c>
      <c r="E141" s="40">
        <f t="shared" si="6"/>
        <v>1347.4452867247176</v>
      </c>
      <c r="F141" s="42">
        <f t="shared" si="7"/>
        <v>10664.248739098752</v>
      </c>
    </row>
    <row r="142" spans="2:6" ht="12.75">
      <c r="B142" s="2">
        <f t="shared" si="4"/>
        <v>65</v>
      </c>
      <c r="C142" s="2">
        <v>1500</v>
      </c>
      <c r="D142" s="40">
        <f t="shared" si="5"/>
        <v>135.4414627272334</v>
      </c>
      <c r="E142" s="40">
        <f t="shared" si="6"/>
        <v>1364.5585372727667</v>
      </c>
      <c r="F142" s="42">
        <f t="shared" si="7"/>
        <v>9299.690201825984</v>
      </c>
    </row>
    <row r="143" spans="2:6" ht="12.75">
      <c r="B143" s="2">
        <f t="shared" si="4"/>
        <v>66</v>
      </c>
      <c r="C143" s="2">
        <v>1500</v>
      </c>
      <c r="D143" s="40">
        <f t="shared" si="5"/>
        <v>118.1108650652009</v>
      </c>
      <c r="E143" s="40">
        <f t="shared" si="6"/>
        <v>1381.8891349347991</v>
      </c>
      <c r="F143" s="42">
        <f t="shared" si="7"/>
        <v>7917.801066891185</v>
      </c>
    </row>
    <row r="144" spans="2:6" ht="12.75">
      <c r="B144" s="2">
        <f t="shared" si="4"/>
        <v>67</v>
      </c>
      <c r="C144" s="2">
        <v>1500</v>
      </c>
      <c r="D144" s="40">
        <f t="shared" si="5"/>
        <v>100.56015986866608</v>
      </c>
      <c r="E144" s="40">
        <f t="shared" si="6"/>
        <v>1399.439840131334</v>
      </c>
      <c r="F144" s="42">
        <f t="shared" si="7"/>
        <v>6518.361226759851</v>
      </c>
    </row>
    <row r="145" spans="2:6" ht="12.75">
      <c r="B145" s="2">
        <f t="shared" si="4"/>
        <v>68</v>
      </c>
      <c r="C145" s="2">
        <v>1500</v>
      </c>
      <c r="D145" s="40">
        <f t="shared" si="5"/>
        <v>82.78655165834483</v>
      </c>
      <c r="E145" s="40">
        <f t="shared" si="6"/>
        <v>1417.213448341655</v>
      </c>
      <c r="F145" s="42">
        <f t="shared" si="7"/>
        <v>5101.147778418196</v>
      </c>
    </row>
    <row r="146" spans="2:6" ht="12.75">
      <c r="B146" s="2">
        <f t="shared" si="4"/>
        <v>69</v>
      </c>
      <c r="C146" s="2">
        <v>1500</v>
      </c>
      <c r="D146" s="40">
        <f t="shared" si="5"/>
        <v>64.78720945092348</v>
      </c>
      <c r="E146" s="40">
        <f t="shared" si="6"/>
        <v>1435.2127905490765</v>
      </c>
      <c r="F146" s="42">
        <f t="shared" si="7"/>
        <v>3665.9349878691196</v>
      </c>
    </row>
    <row r="147" spans="2:6" ht="12.75">
      <c r="B147" s="2">
        <f t="shared" si="4"/>
        <v>70</v>
      </c>
      <c r="C147" s="2">
        <v>1500</v>
      </c>
      <c r="D147" s="40">
        <f t="shared" si="5"/>
        <v>46.559266308139165</v>
      </c>
      <c r="E147" s="40">
        <f t="shared" si="6"/>
        <v>1453.440733691861</v>
      </c>
      <c r="F147" s="42">
        <f t="shared" si="7"/>
        <v>2212.494254177259</v>
      </c>
    </row>
    <row r="148" spans="2:7" ht="12.75">
      <c r="B148" s="2">
        <f t="shared" si="4"/>
        <v>71</v>
      </c>
      <c r="C148" s="2">
        <v>1500</v>
      </c>
      <c r="D148" s="40">
        <f t="shared" si="5"/>
        <v>28.099818880133522</v>
      </c>
      <c r="E148" s="40">
        <f t="shared" si="6"/>
        <v>1471.9001811198664</v>
      </c>
      <c r="F148" s="42">
        <f t="shared" si="7"/>
        <v>740.5940730573925</v>
      </c>
      <c r="G148" s="93">
        <v>45657</v>
      </c>
    </row>
    <row r="149" spans="2:7" ht="12.75">
      <c r="B149" s="2">
        <f t="shared" si="4"/>
        <v>72</v>
      </c>
      <c r="C149" s="9">
        <v>750</v>
      </c>
      <c r="D149" s="43">
        <f t="shared" si="5"/>
        <v>9.40592694300657</v>
      </c>
      <c r="E149" s="43">
        <f t="shared" si="6"/>
        <v>740.5940730569935</v>
      </c>
      <c r="F149" s="42">
        <f t="shared" si="7"/>
        <v>3.9904080040287226E-10</v>
      </c>
      <c r="G149" s="93">
        <v>45747</v>
      </c>
    </row>
    <row r="150" spans="3:5" ht="13.5" thickBot="1">
      <c r="C150" s="95"/>
      <c r="D150" s="92">
        <f>SUM(D78:D149)</f>
        <v>37049.9993820764</v>
      </c>
      <c r="E150" s="92">
        <f>SUM(E78:E149)</f>
        <v>70200.00061792361</v>
      </c>
    </row>
    <row r="151" ht="13.5" thickTop="1"/>
  </sheetData>
  <mergeCells count="3">
    <mergeCell ref="A2:F2"/>
    <mergeCell ref="E12:F12"/>
    <mergeCell ref="G12:H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Esempio leasing</dc:title>
  <dc:subject/>
  <dc:creator>Studio Ratti (c)</dc:creator>
  <cp:keywords/>
  <dc:description/>
  <cp:lastModifiedBy>nicola ratti</cp:lastModifiedBy>
  <dcterms:created xsi:type="dcterms:W3CDTF">2003-12-03T23:18:57Z</dcterms:created>
  <dcterms:modified xsi:type="dcterms:W3CDTF">2008-10-06T00:13:00Z</dcterms:modified>
  <cp:category/>
  <cp:version/>
  <cp:contentType/>
  <cp:contentStatus/>
</cp:coreProperties>
</file>