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1"/>
  </bookViews>
  <sheets>
    <sheet name="INDEX" sheetId="1" r:id="rId1"/>
    <sheet name="Ellipsoid Geometry" sheetId="2" r:id="rId2"/>
    <sheet name="Radii &amp; Arc lengths" sheetId="3" r:id="rId3"/>
    <sheet name="Distance between two points" sheetId="4" r:id="rId4"/>
    <sheet name="(φ; λ; h) ↔ (X; Y; Z)" sheetId="5" r:id="rId5"/>
    <sheet name="1° problem of geodesy" sheetId="6" r:id="rId6"/>
    <sheet name="2° problem of geodesy" sheetId="7" r:id="rId7"/>
    <sheet name="(φ; λ) ↔ (N; E)" sheetId="8" r:id="rId8"/>
    <sheet name="standard Molodensky formulae" sheetId="9" r:id="rId9"/>
    <sheet name="convergence &amp; chord" sheetId="10" r:id="rId10"/>
    <sheet name="Angular conversions" sheetId="11" r:id="rId11"/>
  </sheets>
  <definedNames/>
  <calcPr fullCalcOnLoad="1"/>
</workbook>
</file>

<file path=xl/sharedStrings.xml><?xml version="1.0" encoding="utf-8"?>
<sst xmlns="http://schemas.openxmlformats.org/spreadsheetml/2006/main" count="978" uniqueCount="538">
  <si>
    <t>N</t>
  </si>
  <si>
    <t>a</t>
  </si>
  <si>
    <t>m</t>
  </si>
  <si>
    <t>s</t>
  </si>
  <si>
    <t>ellissoide</t>
  </si>
  <si>
    <t>raggio equatoriale</t>
  </si>
  <si>
    <t>raggio polare</t>
  </si>
  <si>
    <t>l</t>
  </si>
  <si>
    <t>latitudine ellissoidica</t>
  </si>
  <si>
    <t>colatitudine ellissoidica</t>
  </si>
  <si>
    <t>colatitudine geocentrica</t>
  </si>
  <si>
    <t>diametro equatoriale</t>
  </si>
  <si>
    <t>diametro polare</t>
  </si>
  <si>
    <t>differenza raggi</t>
  </si>
  <si>
    <t>differenza diametri</t>
  </si>
  <si>
    <t xml:space="preserve">Modulo per il calcolo dei parametri geometrici dell'ellissoide di rotazione e risoluzioni di un punto sul globo </t>
  </si>
  <si>
    <t>°</t>
  </si>
  <si>
    <t>punto</t>
  </si>
  <si>
    <t>h</t>
  </si>
  <si>
    <t>j</t>
  </si>
  <si>
    <t>raggio sfera locale</t>
  </si>
  <si>
    <t>eccentricità lineare</t>
  </si>
  <si>
    <t>raggio curvatura polare</t>
  </si>
  <si>
    <t>b</t>
  </si>
  <si>
    <r>
      <t>e</t>
    </r>
    <r>
      <rPr>
        <b/>
        <vertAlign val="superscript"/>
        <sz val="10"/>
        <rFont val="Arial"/>
        <family val="2"/>
      </rPr>
      <t>2</t>
    </r>
  </si>
  <si>
    <r>
      <t>e'</t>
    </r>
    <r>
      <rPr>
        <b/>
        <vertAlign val="superscript"/>
        <sz val="10"/>
        <rFont val="Arial"/>
        <family val="2"/>
      </rPr>
      <t>2</t>
    </r>
  </si>
  <si>
    <t>d</t>
  </si>
  <si>
    <t>c</t>
  </si>
  <si>
    <t>raggio curvatura equatoriale</t>
  </si>
  <si>
    <t>y</t>
  </si>
  <si>
    <r>
      <t>c</t>
    </r>
    <r>
      <rPr>
        <b/>
        <vertAlign val="subscript"/>
        <sz val="10"/>
        <rFont val="Symbol"/>
        <family val="1"/>
      </rPr>
      <t>j</t>
    </r>
  </si>
  <si>
    <r>
      <t>c</t>
    </r>
    <r>
      <rPr>
        <b/>
        <vertAlign val="subscript"/>
        <sz val="10"/>
        <rFont val="Symbol"/>
        <family val="1"/>
      </rPr>
      <t>m</t>
    </r>
  </si>
  <si>
    <r>
      <t>c</t>
    </r>
    <r>
      <rPr>
        <b/>
        <vertAlign val="subscript"/>
        <sz val="10"/>
        <rFont val="Symbol"/>
        <family val="1"/>
      </rPr>
      <t>y</t>
    </r>
  </si>
  <si>
    <t>r</t>
  </si>
  <si>
    <t>R</t>
  </si>
  <si>
    <t>X</t>
  </si>
  <si>
    <t>Y</t>
  </si>
  <si>
    <t>Z</t>
  </si>
  <si>
    <t>longitudine ellissoidica</t>
  </si>
  <si>
    <t>coordinata geocentrica</t>
  </si>
  <si>
    <r>
      <t>R</t>
    </r>
    <r>
      <rPr>
        <b/>
        <vertAlign val="subscript"/>
        <sz val="10"/>
        <rFont val="Symbol"/>
        <family val="1"/>
      </rPr>
      <t>y</t>
    </r>
  </si>
  <si>
    <r>
      <t>h</t>
    </r>
    <r>
      <rPr>
        <b/>
        <vertAlign val="superscript"/>
        <sz val="10"/>
        <rFont val="Arial"/>
        <family val="2"/>
      </rPr>
      <t>2</t>
    </r>
  </si>
  <si>
    <t>circolo equatoriale</t>
  </si>
  <si>
    <t>superficie ellissoide</t>
  </si>
  <si>
    <t>circolo parallelo</t>
  </si>
  <si>
    <r>
      <t>C</t>
    </r>
    <r>
      <rPr>
        <b/>
        <vertAlign val="subscript"/>
        <sz val="10"/>
        <rFont val="Arial"/>
        <family val="2"/>
      </rPr>
      <t>pa</t>
    </r>
  </si>
  <si>
    <r>
      <t>C</t>
    </r>
    <r>
      <rPr>
        <b/>
        <vertAlign val="subscript"/>
        <sz val="10"/>
        <rFont val="Arial"/>
        <family val="2"/>
      </rPr>
      <t>E</t>
    </r>
  </si>
  <si>
    <t>ellisse meridiana</t>
  </si>
  <si>
    <t>volume ellissoide</t>
  </si>
  <si>
    <r>
      <t>E</t>
    </r>
    <r>
      <rPr>
        <b/>
        <vertAlign val="subscript"/>
        <sz val="10"/>
        <rFont val="Arial"/>
        <family val="2"/>
      </rPr>
      <t>m</t>
    </r>
  </si>
  <si>
    <t>1° meridiano</t>
  </si>
  <si>
    <t>1° parallelo</t>
  </si>
  <si>
    <t>1'' parallelo</t>
  </si>
  <si>
    <r>
      <t>V</t>
    </r>
    <r>
      <rPr>
        <b/>
        <vertAlign val="subscript"/>
        <sz val="10"/>
        <rFont val="Arial"/>
        <family val="2"/>
      </rPr>
      <t>e</t>
    </r>
  </si>
  <si>
    <t>1/s</t>
  </si>
  <si>
    <t>eccentricità ridotta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</si>
  <si>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</si>
  <si>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</si>
  <si>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IRE24</t>
  </si>
  <si>
    <t>WGS84</t>
  </si>
  <si>
    <t>GRS80</t>
  </si>
  <si>
    <t>WGS72</t>
  </si>
  <si>
    <t>sfera standard</t>
  </si>
  <si>
    <t>GRS75 = IAU76</t>
  </si>
  <si>
    <r>
      <t>T</t>
    </r>
    <r>
      <rPr>
        <b/>
        <vertAlign val="subscript"/>
        <sz val="10"/>
        <rFont val="Arial"/>
        <family val="2"/>
      </rPr>
      <t>pen</t>
    </r>
  </si>
  <si>
    <t>tempo apparente pendolo</t>
  </si>
  <si>
    <t>Ellissoide Internazionale di Hayford (1909)</t>
  </si>
  <si>
    <r>
      <t>R</t>
    </r>
    <r>
      <rPr>
        <b/>
        <vertAlign val="subscript"/>
        <sz val="10"/>
        <rFont val="Arial"/>
        <family val="2"/>
      </rPr>
      <t>oz</t>
    </r>
  </si>
  <si>
    <t>Note:</t>
  </si>
  <si>
    <r>
      <t>Ø</t>
    </r>
    <r>
      <rPr>
        <b/>
        <vertAlign val="subscript"/>
        <sz val="10"/>
        <rFont val="Arial"/>
        <family val="2"/>
      </rPr>
      <t>a</t>
    </r>
  </si>
  <si>
    <r>
      <t>Ø</t>
    </r>
    <r>
      <rPr>
        <b/>
        <vertAlign val="subscript"/>
        <sz val="10"/>
        <rFont val="Arial"/>
        <family val="2"/>
      </rPr>
      <t>b</t>
    </r>
  </si>
  <si>
    <t>ΔØ</t>
  </si>
  <si>
    <r>
      <t>Δ</t>
    </r>
    <r>
      <rPr>
        <b/>
        <vertAlign val="subscript"/>
        <sz val="10"/>
        <rFont val="Arial"/>
        <family val="2"/>
      </rPr>
      <t>ab</t>
    </r>
  </si>
  <si>
    <t>e</t>
  </si>
  <si>
    <t>e'</t>
  </si>
  <si>
    <r>
      <t>E</t>
    </r>
    <r>
      <rPr>
        <b/>
        <vertAlign val="subscript"/>
        <sz val="10"/>
        <rFont val="Arial"/>
        <family val="2"/>
      </rPr>
      <t>L</t>
    </r>
  </si>
  <si>
    <t>1/ρ</t>
  </si>
  <si>
    <t>1/N</t>
  </si>
  <si>
    <t>eccentricità prima</t>
  </si>
  <si>
    <t>eccentricità terza</t>
  </si>
  <si>
    <t>eccentricità seconda</t>
  </si>
  <si>
    <r>
      <t xml:space="preserve">eccentricità prima al </t>
    </r>
    <r>
      <rPr>
        <vertAlign val="superscript"/>
        <sz val="10"/>
        <rFont val="Arial"/>
        <family val="2"/>
      </rPr>
      <t>2</t>
    </r>
  </si>
  <si>
    <r>
      <t xml:space="preserve">eccentricità seconda al </t>
    </r>
    <r>
      <rPr>
        <vertAlign val="superscript"/>
        <sz val="10"/>
        <rFont val="Arial"/>
        <family val="2"/>
      </rPr>
      <t>2</t>
    </r>
  </si>
  <si>
    <r>
      <t xml:space="preserve">eccentricità terza al </t>
    </r>
    <r>
      <rPr>
        <vertAlign val="superscript"/>
        <sz val="10"/>
        <rFont val="Arial"/>
        <family val="2"/>
      </rPr>
      <t>2</t>
    </r>
  </si>
  <si>
    <t>eccentricità angolare</t>
  </si>
  <si>
    <t>æ</t>
  </si>
  <si>
    <r>
      <t>R</t>
    </r>
    <r>
      <rPr>
        <b/>
        <vertAlign val="subscript"/>
        <sz val="10"/>
        <rFont val="Arial"/>
        <family val="2"/>
      </rPr>
      <t>A</t>
    </r>
  </si>
  <si>
    <r>
      <t>R</t>
    </r>
    <r>
      <rPr>
        <b/>
        <vertAlign val="subscript"/>
        <sz val="10"/>
        <rFont val="Arial"/>
        <family val="2"/>
      </rPr>
      <t>m</t>
    </r>
  </si>
  <si>
    <r>
      <t>R</t>
    </r>
    <r>
      <rPr>
        <b/>
        <vertAlign val="subscript"/>
        <sz val="10"/>
        <rFont val="Arial"/>
        <family val="2"/>
      </rPr>
      <t>V</t>
    </r>
  </si>
  <si>
    <r>
      <t>R</t>
    </r>
    <r>
      <rPr>
        <b/>
        <vertAlign val="subscript"/>
        <sz val="10"/>
        <rFont val="Arial"/>
        <family val="2"/>
      </rPr>
      <t>Q</t>
    </r>
  </si>
  <si>
    <r>
      <t>A</t>
    </r>
    <r>
      <rPr>
        <b/>
        <vertAlign val="subscript"/>
        <sz val="10"/>
        <rFont val="Arial"/>
        <family val="2"/>
      </rPr>
      <t>e</t>
    </r>
  </si>
  <si>
    <r>
      <t>Q</t>
    </r>
    <r>
      <rPr>
        <b/>
        <vertAlign val="subscript"/>
        <sz val="10"/>
        <rFont val="Arial"/>
        <family val="2"/>
      </rPr>
      <t>m</t>
    </r>
  </si>
  <si>
    <r>
      <t>p</t>
    </r>
    <r>
      <rPr>
        <b/>
        <vertAlign val="subscript"/>
        <sz val="10"/>
        <rFont val="Arial"/>
        <family val="2"/>
      </rPr>
      <t>λ</t>
    </r>
  </si>
  <si>
    <t>curvatura meridiana</t>
  </si>
  <si>
    <t>curvatura primo verticale</t>
  </si>
  <si>
    <r>
      <t xml:space="preserve">eccentricità ridotta al </t>
    </r>
    <r>
      <rPr>
        <vertAlign val="superscript"/>
        <sz val="10"/>
        <rFont val="Arial"/>
        <family val="2"/>
      </rPr>
      <t>2</t>
    </r>
  </si>
  <si>
    <t>raggio ellissoidico</t>
  </si>
  <si>
    <t>appiattimento polare</t>
  </si>
  <si>
    <t>appiattimento equatoriale</t>
  </si>
  <si>
    <t>semilato retto</t>
  </si>
  <si>
    <t>raggio meridiano</t>
  </si>
  <si>
    <t>raggio primo verticale</t>
  </si>
  <si>
    <r>
      <t>R</t>
    </r>
    <r>
      <rPr>
        <b/>
        <vertAlign val="subscript"/>
        <sz val="10"/>
        <rFont val="Arial"/>
        <family val="2"/>
      </rPr>
      <t>φ</t>
    </r>
  </si>
  <si>
    <r>
      <t>m</t>
    </r>
    <r>
      <rPr>
        <b/>
        <vertAlign val="subscript"/>
        <sz val="10"/>
        <rFont val="Arial"/>
        <family val="2"/>
      </rPr>
      <t>φ</t>
    </r>
  </si>
  <si>
    <t>ellipsoid</t>
  </si>
  <si>
    <t>latitude</t>
  </si>
  <si>
    <t>1° meridian</t>
  </si>
  <si>
    <t>1' meridian</t>
  </si>
  <si>
    <t>1" meridian</t>
  </si>
  <si>
    <t>1° parallel</t>
  </si>
  <si>
    <t>1' parallel</t>
  </si>
  <si>
    <t>1" parallel</t>
  </si>
  <si>
    <r>
      <t xml:space="preserve">s </t>
    </r>
    <r>
      <rPr>
        <b/>
        <sz val="8"/>
        <rFont val="Arial"/>
        <family val="2"/>
      </rPr>
      <t>(flattening)</t>
    </r>
  </si>
  <si>
    <r>
      <t>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(eccentricity)</t>
    </r>
  </si>
  <si>
    <r>
      <t xml:space="preserve">a </t>
    </r>
    <r>
      <rPr>
        <b/>
        <sz val="8"/>
        <rFont val="Arial"/>
        <family val="2"/>
      </rPr>
      <t>(semi-major axis)</t>
    </r>
  </si>
  <si>
    <t>raggio parametrico</t>
  </si>
  <si>
    <t>latitudine parametrica</t>
  </si>
  <si>
    <r>
      <t>R</t>
    </r>
    <r>
      <rPr>
        <b/>
        <vertAlign val="subscript"/>
        <sz val="10"/>
        <rFont val="Arial"/>
        <family val="2"/>
      </rPr>
      <t>μ</t>
    </r>
  </si>
  <si>
    <t>raggio parallelo</t>
  </si>
  <si>
    <t>curvatura Germain</t>
  </si>
  <si>
    <t>curvatura Gauss</t>
  </si>
  <si>
    <t>curvatura Casorati</t>
  </si>
  <si>
    <t>altitudine ellissoidica</t>
  </si>
  <si>
    <t>colatitudine parametrica</t>
  </si>
  <si>
    <t>reciproco polare</t>
  </si>
  <si>
    <t>reciproco equatoriale</t>
  </si>
  <si>
    <t>s.r.</t>
  </si>
  <si>
    <t>appiattimento terzo</t>
  </si>
  <si>
    <t>reciproco terzo</t>
  </si>
  <si>
    <r>
      <t>1°</t>
    </r>
    <r>
      <rPr>
        <b/>
        <vertAlign val="subscript"/>
        <sz val="10"/>
        <rFont val="Arial"/>
        <family val="2"/>
      </rPr>
      <t>m</t>
    </r>
  </si>
  <si>
    <r>
      <t>1'</t>
    </r>
    <r>
      <rPr>
        <b/>
        <vertAlign val="subscript"/>
        <sz val="10"/>
        <rFont val="Arial"/>
        <family val="2"/>
      </rPr>
      <t>m</t>
    </r>
  </si>
  <si>
    <r>
      <t>1"</t>
    </r>
    <r>
      <rPr>
        <b/>
        <vertAlign val="subscript"/>
        <sz val="10"/>
        <rFont val="Arial"/>
        <family val="2"/>
      </rPr>
      <t>m</t>
    </r>
  </si>
  <si>
    <r>
      <t>1°</t>
    </r>
    <r>
      <rPr>
        <b/>
        <vertAlign val="subscript"/>
        <sz val="10"/>
        <rFont val="Arial"/>
        <family val="2"/>
      </rPr>
      <t>pa</t>
    </r>
  </si>
  <si>
    <r>
      <t>1'</t>
    </r>
    <r>
      <rPr>
        <b/>
        <vertAlign val="subscript"/>
        <sz val="10"/>
        <rFont val="Arial"/>
        <family val="2"/>
      </rPr>
      <t>pa</t>
    </r>
  </si>
  <si>
    <r>
      <t>1"</t>
    </r>
    <r>
      <rPr>
        <b/>
        <vertAlign val="subscript"/>
        <sz val="10"/>
        <rFont val="Arial"/>
        <family val="2"/>
      </rPr>
      <t>pa</t>
    </r>
  </si>
  <si>
    <r>
      <t>s</t>
    </r>
    <r>
      <rPr>
        <b/>
        <vertAlign val="subscript"/>
        <sz val="10"/>
        <rFont val="Arial"/>
        <family val="2"/>
      </rPr>
      <t>2</t>
    </r>
  </si>
  <si>
    <r>
      <t>1/s</t>
    </r>
    <r>
      <rPr>
        <b/>
        <vertAlign val="subscript"/>
        <sz val="10"/>
        <rFont val="Arial"/>
        <family val="2"/>
      </rPr>
      <t>2</t>
    </r>
  </si>
  <si>
    <r>
      <t>1/s</t>
    </r>
    <r>
      <rPr>
        <b/>
        <vertAlign val="subscript"/>
        <sz val="10"/>
        <rFont val="Arial"/>
        <family val="2"/>
      </rPr>
      <t>3</t>
    </r>
  </si>
  <si>
    <t>relazioni</t>
  </si>
  <si>
    <r>
      <t>(1-s)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=(1-e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</si>
  <si>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2M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=C+K</t>
    </r>
  </si>
  <si>
    <t>a/b</t>
  </si>
  <si>
    <t>b/a</t>
  </si>
  <si>
    <t>quantità</t>
  </si>
  <si>
    <t>c/b</t>
  </si>
  <si>
    <t>distanza dal meridiano 0°</t>
  </si>
  <si>
    <r>
      <t>1</t>
    </r>
    <r>
      <rPr>
        <sz val="10"/>
        <rFont val="Arial"/>
        <family val="2"/>
      </rPr>
      <t>'</t>
    </r>
    <r>
      <rPr>
        <sz val="10"/>
        <rFont val="Arial"/>
        <family val="2"/>
      </rPr>
      <t xml:space="preserve"> meridiano</t>
    </r>
  </si>
  <si>
    <r>
      <t>1</t>
    </r>
    <r>
      <rPr>
        <sz val="10"/>
        <rFont val="Arial"/>
        <family val="2"/>
      </rPr>
      <t>"</t>
    </r>
    <r>
      <rPr>
        <sz val="10"/>
        <rFont val="Arial"/>
        <family val="2"/>
      </rPr>
      <t xml:space="preserve"> meridiano</t>
    </r>
  </si>
  <si>
    <r>
      <t>1</t>
    </r>
    <r>
      <rPr>
        <sz val="10"/>
        <rFont val="Arial"/>
        <family val="2"/>
      </rPr>
      <t>'</t>
    </r>
    <r>
      <rPr>
        <sz val="10"/>
        <rFont val="Arial"/>
        <family val="2"/>
      </rPr>
      <t xml:space="preserve"> parallelo</t>
    </r>
  </si>
  <si>
    <r>
      <t>K·10</t>
    </r>
    <r>
      <rPr>
        <b/>
        <vertAlign val="superscript"/>
        <sz val="10"/>
        <rFont val="Arial"/>
        <family val="2"/>
      </rPr>
      <t>5</t>
    </r>
  </si>
  <si>
    <r>
      <t>C·10</t>
    </r>
    <r>
      <rPr>
        <b/>
        <vertAlign val="superscript"/>
        <sz val="10"/>
        <rFont val="Arial"/>
        <family val="2"/>
      </rPr>
      <t>5</t>
    </r>
  </si>
  <si>
    <r>
      <t>M·10</t>
    </r>
    <r>
      <rPr>
        <b/>
        <vertAlign val="superscript"/>
        <sz val="10"/>
        <rFont val="Arial"/>
        <family val="2"/>
      </rPr>
      <t>5</t>
    </r>
  </si>
  <si>
    <t>ellisssoidi di rotazione</t>
  </si>
  <si>
    <t>raggio sfera = superficie</t>
  </si>
  <si>
    <t>raggio sfera = medio raggi</t>
  </si>
  <si>
    <t>raggio sfera = volume</t>
  </si>
  <si>
    <t>raggio sfera = quadrante</t>
  </si>
  <si>
    <r>
      <t>1-e</t>
    </r>
    <r>
      <rPr>
        <b/>
        <vertAlign val="superscript"/>
        <sz val="10"/>
        <rFont val="Arial"/>
        <family val="2"/>
      </rPr>
      <t>2</t>
    </r>
  </si>
  <si>
    <r>
      <t>1+e</t>
    </r>
    <r>
      <rPr>
        <b/>
        <vertAlign val="superscript"/>
        <sz val="10"/>
        <rFont val="Arial"/>
        <family val="2"/>
      </rPr>
      <t>2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</si>
  <si>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</si>
  <si>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</si>
  <si>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</si>
  <si>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=</t>
    </r>
  </si>
  <si>
    <r>
      <t>H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=</t>
    </r>
  </si>
  <si>
    <t>a/(1+n) =</t>
  </si>
  <si>
    <r>
      <t>M</t>
    </r>
    <r>
      <rPr>
        <vertAlign val="subscript"/>
        <sz val="10"/>
        <rFont val="Arial"/>
        <family val="2"/>
      </rPr>
      <t>Helmert</t>
    </r>
    <r>
      <rPr>
        <sz val="10"/>
        <rFont val="Arial"/>
        <family val="2"/>
      </rPr>
      <t xml:space="preserve"> =</t>
    </r>
  </si>
  <si>
    <t>sin2φ =</t>
  </si>
  <si>
    <t>sin4φ =</t>
  </si>
  <si>
    <t>sin6φ =</t>
  </si>
  <si>
    <t>sin8φ =</t>
  </si>
  <si>
    <t>quadrante meridiano*</t>
  </si>
  <si>
    <t>distanza dall'equatore**</t>
  </si>
  <si>
    <t>** Sviluppo lineare dell’arco di meridiano compreso tra l’equatore e il punto di latitudine φ (formula di Helmert, 1880)</t>
  </si>
  <si>
    <r>
      <t>Distanza tra due punti di coordinate geografiche (φ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λ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 e (φ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λ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 posti sulla superficie terrestre (modello Terra ellissoidale) (formula di Andoyer, 1927)</t>
    </r>
  </si>
  <si>
    <t>A =</t>
  </si>
  <si>
    <t>B =</t>
  </si>
  <si>
    <t>C =</t>
  </si>
  <si>
    <t>D =</t>
  </si>
  <si>
    <t>E =</t>
  </si>
  <si>
    <t>F =</t>
  </si>
  <si>
    <t>G =</t>
  </si>
  <si>
    <t>H =</t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</si>
  <si>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</si>
  <si>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</si>
  <si>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φ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</si>
  <si>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λ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</si>
  <si>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φ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</si>
  <si>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λ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</si>
  <si>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latitudine</t>
  </si>
  <si>
    <t>longitudine</t>
  </si>
  <si>
    <t>latitudine media</t>
  </si>
  <si>
    <t>differenza latitudinale</t>
  </si>
  <si>
    <t>differenza longitudinale</t>
  </si>
  <si>
    <t>a =</t>
  </si>
  <si>
    <t>s =</t>
  </si>
  <si>
    <r>
      <t>Distanza tra due punti di coordinate geografiche (φ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λ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 e (φ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λ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posti sulla superficie terrestre (modello Terra sferica di raggio R) (formula del semi-senoverso </t>
    </r>
    <r>
      <rPr>
        <b/>
        <i/>
        <sz val="10"/>
        <rFont val="Arial"/>
        <family val="2"/>
      </rPr>
      <t>haversine</t>
    </r>
    <r>
      <rPr>
        <b/>
        <sz val="10"/>
        <rFont val="Arial"/>
        <family val="2"/>
      </rPr>
      <t>)</t>
    </r>
  </si>
  <si>
    <t>R =</t>
  </si>
  <si>
    <t>raggio della sfera</t>
  </si>
  <si>
    <t>semiasse maggiore dell'ellissoide</t>
  </si>
  <si>
    <t>schiacciamento dell'ellissoide</t>
  </si>
  <si>
    <t>Δφ =</t>
  </si>
  <si>
    <t>Δλ =</t>
  </si>
  <si>
    <t>semi differenza latitudinale</t>
  </si>
  <si>
    <t>semi differenza longitudinale</t>
  </si>
  <si>
    <t>angolo al centro in radianti</t>
  </si>
  <si>
    <t>d =</t>
  </si>
  <si>
    <r>
      <t>σ</t>
    </r>
    <r>
      <rPr>
        <vertAlign val="subscript"/>
        <sz val="10"/>
        <rFont val="Arial"/>
        <family val="2"/>
      </rPr>
      <t>Andoyer</t>
    </r>
    <r>
      <rPr>
        <sz val="10"/>
        <rFont val="Arial"/>
        <family val="2"/>
      </rPr>
      <t xml:space="preserve"> =</t>
    </r>
  </si>
  <si>
    <r>
      <t>σ</t>
    </r>
    <r>
      <rPr>
        <vertAlign val="subscript"/>
        <sz val="10"/>
        <rFont val="Arial"/>
        <family val="2"/>
      </rPr>
      <t>haversine</t>
    </r>
    <r>
      <rPr>
        <sz val="10"/>
        <rFont val="Arial"/>
        <family val="2"/>
      </rPr>
      <t xml:space="preserve"> =</t>
    </r>
  </si>
  <si>
    <t>raggio orizzonte geometrico***</t>
  </si>
  <si>
    <t>* Sviluppo lineare del quadrante meridiano o distanza polare (formula di Rananujan I, 1914)</t>
  </si>
  <si>
    <t>*** Il raggio dell'orizzonte geometrico viene calcolato tenendo conto della quota dell'osservatore h e del raggio della sfera locale R, mediante la seguente relazione</t>
  </si>
  <si>
    <t>h =</t>
  </si>
  <si>
    <t>altitudine</t>
  </si>
  <si>
    <t>da (φ; λ; h) a (X; Y; Z) - problema diretto</t>
  </si>
  <si>
    <t>X =</t>
  </si>
  <si>
    <t>Y =</t>
  </si>
  <si>
    <t>Z =</t>
  </si>
  <si>
    <t>N =</t>
  </si>
  <si>
    <t>da</t>
  </si>
  <si>
    <t>b =</t>
  </si>
  <si>
    <t>da (X; Y; Z) a (φ; λ; h) - problema inverso</t>
  </si>
  <si>
    <t>r =</t>
  </si>
  <si>
    <r>
      <t xml:space="preserve">raggio del parallelo alla latitudine </t>
    </r>
    <r>
      <rPr>
        <sz val="10"/>
        <rFont val="Arial"/>
        <family val="2"/>
      </rPr>
      <t>φ</t>
    </r>
  </si>
  <si>
    <r>
      <t>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</si>
  <si>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rad</t>
  </si>
  <si>
    <t>latitudine parametrica in radianti</t>
  </si>
  <si>
    <t>φ =</t>
  </si>
  <si>
    <t>λ =</t>
  </si>
  <si>
    <r>
      <t>e'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</si>
  <si>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μ =</t>
  </si>
  <si>
    <t>Trasformazione da coordinate geografiche (φ; λ; h) a coordinate rettangolari geodetiche geocentriche (X; Y; Z) e viceversa</t>
  </si>
  <si>
    <t>azimut</t>
  </si>
  <si>
    <t>semiasse minore dell'ellissoide</t>
  </si>
  <si>
    <t>raggio di curvatura primo verticale</t>
  </si>
  <si>
    <t>eccentricità prima al quadrato dell'ellissoide</t>
  </si>
  <si>
    <t>Trasporto di coordinate geografiche lungo un arco di geodetica - Problema diretto (formule di Jadanza, 1891)</t>
  </si>
  <si>
    <r>
      <t>φ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</si>
  <si>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λ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=</t>
    </r>
  </si>
  <si>
    <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=</t>
    </r>
  </si>
  <si>
    <r>
      <t>σ</t>
    </r>
    <r>
      <rPr>
        <b/>
        <vertAlign val="subscript"/>
        <sz val="10"/>
        <rFont val="Arial"/>
        <family val="2"/>
      </rPr>
      <t>12</t>
    </r>
    <r>
      <rPr>
        <b/>
        <sz val="10"/>
        <rFont val="Arial"/>
        <family val="2"/>
      </rPr>
      <t xml:space="preserve"> =</t>
    </r>
  </si>
  <si>
    <t>distanza</t>
  </si>
  <si>
    <r>
      <t>φ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</si>
  <si>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λ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=</t>
    </r>
  </si>
  <si>
    <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=</t>
    </r>
  </si>
  <si>
    <r>
      <t xml:space="preserve">parziali </t>
    </r>
    <r>
      <rPr>
        <sz val="10"/>
        <rFont val="Arial"/>
        <family val="2"/>
      </rPr>
      <t>φ</t>
    </r>
  </si>
  <si>
    <r>
      <t>φ</t>
    </r>
    <r>
      <rPr>
        <sz val="10"/>
        <rFont val="Arial"/>
        <family val="2"/>
      </rPr>
      <t>1</t>
    </r>
  </si>
  <si>
    <t>φ2</t>
  </si>
  <si>
    <t>φ3</t>
  </si>
  <si>
    <t>φ4</t>
  </si>
  <si>
    <r>
      <t xml:space="preserve">parziali </t>
    </r>
    <r>
      <rPr>
        <sz val="10"/>
        <rFont val="Arial"/>
        <family val="2"/>
      </rPr>
      <t>λ</t>
    </r>
  </si>
  <si>
    <t>λ1</t>
  </si>
  <si>
    <t>λ2</t>
  </si>
  <si>
    <t>λ3</t>
  </si>
  <si>
    <r>
      <t xml:space="preserve">parziali </t>
    </r>
    <r>
      <rPr>
        <sz val="10"/>
        <rFont val="Arial"/>
        <family val="2"/>
      </rPr>
      <t>α</t>
    </r>
  </si>
  <si>
    <t>α1</t>
  </si>
  <si>
    <t>α2</t>
  </si>
  <si>
    <t>α3</t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</si>
  <si>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</si>
  <si>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ρ</t>
    </r>
    <r>
      <rPr>
        <vertAlign val="subscript"/>
        <sz val="10"/>
        <rFont val="Arial"/>
        <family val="2"/>
      </rPr>
      <t>1 =</t>
    </r>
  </si>
  <si>
    <t>raggio di curvatura meridiano</t>
  </si>
  <si>
    <t>Trasporto di coordinate geografiche lungo un arco di geodetica - Problema inverso</t>
  </si>
  <si>
    <t>latitudine 1° punto</t>
  </si>
  <si>
    <t>longitudine 1° punto</t>
  </si>
  <si>
    <t>latitudine 2° punto</t>
  </si>
  <si>
    <t>longitudine 2° punto</t>
  </si>
  <si>
    <r>
      <t>φ</t>
    </r>
    <r>
      <rPr>
        <b/>
        <vertAlign val="subscript"/>
        <sz val="10"/>
        <rFont val="Arial"/>
        <family val="2"/>
      </rPr>
      <t>m</t>
    </r>
  </si>
  <si>
    <r>
      <t>η</t>
    </r>
    <r>
      <rPr>
        <b/>
        <vertAlign val="superscript"/>
        <sz val="10"/>
        <rFont val="Arial"/>
        <family val="2"/>
      </rPr>
      <t>2</t>
    </r>
  </si>
  <si>
    <r>
      <t>ν</t>
    </r>
    <r>
      <rPr>
        <b/>
        <vertAlign val="superscript"/>
        <sz val="10"/>
        <rFont val="Arial"/>
        <family val="2"/>
      </rPr>
      <t>2</t>
    </r>
  </si>
  <si>
    <t>ζ</t>
  </si>
  <si>
    <t>x'</t>
  </si>
  <si>
    <t>y'</t>
  </si>
  <si>
    <t>z'</t>
  </si>
  <si>
    <r>
      <t>t</t>
    </r>
    <r>
      <rPr>
        <b/>
        <vertAlign val="superscript"/>
        <sz val="10"/>
        <rFont val="Arial"/>
        <family val="2"/>
      </rPr>
      <t>2</t>
    </r>
  </si>
  <si>
    <t>p</t>
  </si>
  <si>
    <t>x</t>
  </si>
  <si>
    <t>z</t>
  </si>
  <si>
    <t>γ</t>
  </si>
  <si>
    <t>S</t>
  </si>
  <si>
    <t>α'</t>
  </si>
  <si>
    <t>parziali</t>
  </si>
  <si>
    <t>eccentricità seconda al quadrato dell'ellissoide</t>
  </si>
  <si>
    <t>c =</t>
  </si>
  <si>
    <t>raggio di curvatura polare</t>
  </si>
  <si>
    <t>INDEX</t>
  </si>
  <si>
    <t>input</t>
  </si>
  <si>
    <t>output</t>
  </si>
  <si>
    <t>Ellipsoid Geometry</t>
  </si>
  <si>
    <t>Radii &amp; Arc lengths</t>
  </si>
  <si>
    <t>Distance between two points</t>
  </si>
  <si>
    <t>(φ; λ; h) ↔ (X; Y; Z)</t>
  </si>
  <si>
    <t>1° problem of geodesy (direct)</t>
  </si>
  <si>
    <t>2° problem of geodesy (inverse)</t>
  </si>
  <si>
    <t>- for decimal separator no point (0.000) yes comma (0,000) [inserire la virgola quale separatore decimale]</t>
  </si>
  <si>
    <t>- angular values in sexadecimal degrees [valori angolari in gradi sessadecimali]</t>
  </si>
  <si>
    <t>◄</t>
  </si>
  <si>
    <t>(φ; λ) ↔ (N; E)</t>
  </si>
  <si>
    <t>Trasformazione da coordinate geografiche (φ; λ) a coordinate gaussiane (N; E) e viceversa</t>
  </si>
  <si>
    <r>
      <t>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</si>
  <si>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e'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</si>
  <si>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t>longitudine meridiano centrale del fuso</t>
  </si>
  <si>
    <r>
      <t>λ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</si>
  <si>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</si>
  <si>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</si>
  <si>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da (φ; λ) a (N; E) - problema diretto</t>
  </si>
  <si>
    <t>λ' =</t>
  </si>
  <si>
    <t>ξ =</t>
  </si>
  <si>
    <t>ν =</t>
  </si>
  <si>
    <t>y =</t>
  </si>
  <si>
    <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</si>
  <si>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</si>
  <si>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A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=</t>
    </r>
  </si>
  <si>
    <r>
      <t>A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=</t>
    </r>
  </si>
  <si>
    <t>x =</t>
  </si>
  <si>
    <r>
      <t>ν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</si>
  <si>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t>e =</t>
  </si>
  <si>
    <t>da (N; E) a (φ; λ) - problema inverso</t>
  </si>
  <si>
    <r>
      <t>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</si>
  <si>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B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=</t>
    </r>
  </si>
  <si>
    <r>
      <t>B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=</t>
    </r>
  </si>
  <si>
    <r>
      <t>B</t>
    </r>
    <r>
      <rPr>
        <b/>
        <vertAlign val="sub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</si>
  <si>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</si>
  <si>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N/A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</si>
  <si>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t>falsa origine*</t>
  </si>
  <si>
    <t xml:space="preserve">* Valori della Falsa origine </t>
  </si>
  <si>
    <t>m per i punti a ovest del meridiano centrale di ogni fuso UTM</t>
  </si>
  <si>
    <t>m per i punti a sud dell'equatore per i fusi UTM</t>
  </si>
  <si>
    <t>fattore di scala (o coefficiente di contrazione) 0,9996 oppure 1</t>
  </si>
  <si>
    <t>'</t>
  </si>
  <si>
    <t>"</t>
  </si>
  <si>
    <t>DD</t>
  </si>
  <si>
    <t>from Degrees Minutes Seconds DMS to Decimal Degrees DD</t>
  </si>
  <si>
    <t>from Decimal Degrees to Degrees Minutes Seconds DMS</t>
  </si>
  <si>
    <t>from Decimal Degrees DD to Radians RAD</t>
  </si>
  <si>
    <t>from Radians RAD to Decimal Degrees DD</t>
  </si>
  <si>
    <t>RAD</t>
  </si>
  <si>
    <t>D</t>
  </si>
  <si>
    <t>M</t>
  </si>
  <si>
    <t>angular conversions (utility)</t>
  </si>
  <si>
    <t>Angular conversions (utility)</t>
  </si>
  <si>
    <t>from</t>
  </si>
  <si>
    <t>to</t>
  </si>
  <si>
    <t>standard Molodensky formulae</t>
  </si>
  <si>
    <r>
      <t>m per i punti a ovest del meridiano centrale del fuso 1 o ovest (sistema Gauss-Boaga, Italia) (</t>
    </r>
    <r>
      <rPr>
        <sz val="10"/>
        <rFont val="Courier New"/>
        <family val="3"/>
      </rPr>
      <t>λ</t>
    </r>
    <r>
      <rPr>
        <vertAlign val="subscript"/>
        <sz val="10"/>
        <rFont val="Courier New"/>
        <family val="3"/>
      </rPr>
      <t>0</t>
    </r>
    <r>
      <rPr>
        <sz val="10"/>
        <rFont val="Arial"/>
        <family val="2"/>
      </rPr>
      <t>= 9° E da Greenwich)</t>
    </r>
  </si>
  <si>
    <r>
      <t>m per i punti a ovest del meridiano centrale del fuso 2 o est (sistema Gauss-Boaga, Italia) (λ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 15° E da Greenwich)</t>
    </r>
  </si>
  <si>
    <t>standard Molodensky formulae (1960)</t>
  </si>
  <si>
    <t>f</t>
  </si>
  <si>
    <t>ellissoide 1</t>
  </si>
  <si>
    <t>ellissoide 2</t>
  </si>
  <si>
    <r>
      <t>λ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</si>
  <si>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h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</si>
  <si>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</si>
  <si>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</si>
  <si>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</si>
  <si>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</si>
  <si>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r>
      <t>λ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</si>
  <si>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</si>
  <si>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t>N=</t>
  </si>
  <si>
    <t>b=</t>
  </si>
  <si>
    <r>
      <t>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</si>
  <si>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t>Δa=</t>
  </si>
  <si>
    <t>Δf=</t>
  </si>
  <si>
    <t>Δx=</t>
  </si>
  <si>
    <t>Δy=</t>
  </si>
  <si>
    <t>Δz=</t>
  </si>
  <si>
    <t>name</t>
  </si>
  <si>
    <t>name=</t>
  </si>
  <si>
    <r>
      <t>φ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</si>
  <si>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t>ρ=</t>
  </si>
  <si>
    <t>sin1"=</t>
  </si>
  <si>
    <r>
      <t>φ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</si>
  <si>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t>Δφ"=</t>
  </si>
  <si>
    <t>Δλ"=</t>
  </si>
  <si>
    <t>Δh=</t>
  </si>
  <si>
    <t>Airy 1830</t>
  </si>
  <si>
    <t>Bessel 1841</t>
  </si>
  <si>
    <t>Clarke 1880</t>
  </si>
  <si>
    <t>Helmert 1906</t>
  </si>
  <si>
    <t>Hayford 1909</t>
  </si>
  <si>
    <t>Krasosky 1940</t>
  </si>
  <si>
    <t>Hough 1960</t>
  </si>
  <si>
    <t>WGS 1972</t>
  </si>
  <si>
    <t>GRS 1980</t>
  </si>
  <si>
    <t>WGS 1984</t>
  </si>
  <si>
    <t>Δa</t>
  </si>
  <si>
    <t>Δf</t>
  </si>
  <si>
    <t>rispetto al WGS84 [ WGS84 - ellissoide]</t>
  </si>
  <si>
    <t>Trasporto di coordinate geografiche lungo un arco di geodetica - Problema diretto (sviluppi in serie di Legendre-Delambre)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</si>
  <si>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</si>
  <si>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</si>
  <si>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</si>
  <si>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</si>
  <si>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</si>
  <si>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</si>
  <si>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</si>
  <si>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</si>
  <si>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</si>
  <si>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</si>
  <si>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</si>
  <si>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r>
      <t>φ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</t>
    </r>
  </si>
  <si>
    <r>
      <t>λ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</t>
    </r>
  </si>
  <si>
    <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</t>
    </r>
  </si>
  <si>
    <r>
      <t>nel punto 2 (φ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; λ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</si>
  <si>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nel punto 1 (φ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; λ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</si>
  <si>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r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</si>
  <si>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</si>
  <si>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r>
      <t>cost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</si>
  <si>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cost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</si>
  <si>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t>Trasporto di coordinate geografiche lungo un arco di geodetica - Problema diretto (sviluppi in serie fino al 5° ordine)</t>
  </si>
  <si>
    <t>V=</t>
  </si>
  <si>
    <t>t=</t>
  </si>
  <si>
    <t>r=</t>
  </si>
  <si>
    <t>v=</t>
  </si>
  <si>
    <t>u=</t>
  </si>
  <si>
    <t>c=</t>
  </si>
  <si>
    <r>
      <t>e'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</si>
  <si>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r>
      <t>η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</si>
  <si>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</si>
  <si>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</si>
  <si>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</si>
  <si>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</si>
  <si>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</si>
  <si>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</si>
  <si>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</si>
  <si>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</si>
  <si>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</si>
  <si>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</si>
  <si>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</si>
  <si>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</si>
  <si>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</si>
  <si>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</si>
  <si>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</si>
  <si>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</si>
  <si>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</si>
  <si>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</si>
  <si>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</si>
  <si>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</si>
  <si>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</si>
  <si>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</si>
  <si>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</si>
  <si>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</si>
  <si>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</si>
  <si>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</si>
  <si>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</si>
  <si>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</si>
  <si>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Jadanza, 1891</t>
  </si>
  <si>
    <t>Legendre-Delambre</t>
  </si>
  <si>
    <t>5° ordine</t>
  </si>
  <si>
    <t>Teorema di Clairaut e Teorema di Meusnier</t>
  </si>
  <si>
    <t>riduzione angolare alla corda</t>
  </si>
  <si>
    <t>convergenza del meridiano</t>
  </si>
  <si>
    <t>modulo deformazione lineare in un punto</t>
  </si>
  <si>
    <t>modulo deformazione lineare per elementi finiti</t>
  </si>
  <si>
    <r>
      <t>F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</si>
  <si>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inserimento dati</t>
  </si>
  <si>
    <t>1)</t>
  </si>
  <si>
    <t>formula classica</t>
  </si>
  <si>
    <t>2)</t>
  </si>
  <si>
    <t>formula di Hirvonen</t>
  </si>
  <si>
    <t>γ=</t>
  </si>
  <si>
    <t>eccentricità prima al quadrato dell'ellissoide di riferimento</t>
  </si>
  <si>
    <t xml:space="preserve">   </t>
  </si>
  <si>
    <t>raggio di curvatura polare del'ellissoide di riferimento</t>
  </si>
  <si>
    <r>
      <t>v</t>
    </r>
    <r>
      <rPr>
        <b/>
        <vertAlign val="subscript"/>
        <sz val="10"/>
        <rFont val="Arial"/>
        <family val="2"/>
      </rPr>
      <t>1</t>
    </r>
  </si>
  <si>
    <t>v</t>
  </si>
  <si>
    <r>
      <t>e</t>
    </r>
    <r>
      <rPr>
        <b/>
        <sz val="10"/>
        <rFont val="Calibri"/>
        <family val="2"/>
      </rPr>
      <t>'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</si>
  <si>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t>eccentricità seconda al quadrato dell'ellissoide di riferimento</t>
  </si>
  <si>
    <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</t>
    </r>
  </si>
  <si>
    <t>Fattore di scala</t>
  </si>
  <si>
    <t>Falsa origine</t>
  </si>
  <si>
    <t>se E &gt; 500000 allora y = E - 500000</t>
  </si>
  <si>
    <t>se E &lt; 500000 allora y = 500000 - E</t>
  </si>
  <si>
    <t>y/c</t>
  </si>
  <si>
    <t>y/(c*0,9996)</t>
  </si>
  <si>
    <t>formula Bonifacino</t>
  </si>
  <si>
    <r>
      <t>m</t>
    </r>
    <r>
      <rPr>
        <b/>
        <vertAlign val="subscript"/>
        <sz val="10"/>
        <rFont val="Arial"/>
        <family val="2"/>
      </rPr>
      <t>rid</t>
    </r>
    <r>
      <rPr>
        <b/>
        <sz val="10"/>
        <rFont val="Arial"/>
        <family val="2"/>
      </rPr>
      <t xml:space="preserve"> =</t>
    </r>
  </si>
  <si>
    <t>m =</t>
  </si>
  <si>
    <t>coordinata est 2° punto</t>
  </si>
  <si>
    <t>coordinata est 1° punto</t>
  </si>
  <si>
    <t>coordinata nord 2° punto</t>
  </si>
  <si>
    <t>longitudine media</t>
  </si>
  <si>
    <t>nel 1° punto</t>
  </si>
  <si>
    <t>nel punto medio</t>
  </si>
  <si>
    <t>nel secondo punto</t>
  </si>
  <si>
    <t>coordinata est del punto medio</t>
  </si>
  <si>
    <t>coordinata nord del punto medio</t>
  </si>
  <si>
    <t>longitudine dal meridiano centrale del fuso (positiva + a est e negativa a ovest) in gradi sessadecimali e in radianti</t>
  </si>
  <si>
    <t>1° punto</t>
  </si>
  <si>
    <t>2° punto</t>
  </si>
  <si>
    <t>punto medio</t>
  </si>
  <si>
    <t>formula Cavalieri</t>
  </si>
  <si>
    <r>
      <t>m</t>
    </r>
    <r>
      <rPr>
        <b/>
        <vertAlign val="subscript"/>
        <sz val="10"/>
        <rFont val="Arial"/>
        <family val="2"/>
      </rPr>
      <t>12</t>
    </r>
    <r>
      <rPr>
        <b/>
        <sz val="10"/>
        <rFont val="Arial"/>
        <family val="2"/>
      </rPr>
      <t xml:space="preserve"> =</t>
    </r>
  </si>
  <si>
    <r>
      <t>m</t>
    </r>
    <r>
      <rPr>
        <b/>
        <vertAlign val="subscript"/>
        <sz val="10"/>
        <rFont val="Arial"/>
        <family val="2"/>
      </rPr>
      <t>12 rid</t>
    </r>
    <r>
      <rPr>
        <b/>
        <sz val="10"/>
        <rFont val="Arial"/>
        <family val="2"/>
      </rPr>
      <t xml:space="preserve"> =</t>
    </r>
  </si>
  <si>
    <t>formula con coordinata gaussiana E</t>
  </si>
  <si>
    <t>raggio di curvatura primo verticale nel punto medio</t>
  </si>
  <si>
    <t>raggio di curvatura meridiano nel punto medio</t>
  </si>
  <si>
    <r>
      <t>N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=</t>
    </r>
  </si>
  <si>
    <r>
      <t>ρ</t>
    </r>
    <r>
      <rPr>
        <b/>
        <vertAlign val="subscript"/>
        <sz val="10"/>
        <rFont val="Arial"/>
        <family val="2"/>
      </rPr>
      <t>m =</t>
    </r>
  </si>
  <si>
    <t>CALCOLI SULLA RAPPRESENTAZIONE CONFORME DI GAUSS</t>
  </si>
  <si>
    <r>
      <t>λ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</si>
  <si>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λ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</si>
  <si>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φ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=</t>
    </r>
  </si>
  <si>
    <r>
      <t>λ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</si>
  <si>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</si>
  <si>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N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</si>
  <si>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</si>
  <si>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</si>
  <si>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=</t>
    </r>
  </si>
  <si>
    <r>
      <t>Δλ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</si>
  <si>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Δλ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</si>
  <si>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Δλ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=</t>
    </r>
  </si>
  <si>
    <r>
      <t>γ</t>
    </r>
    <r>
      <rPr>
        <b/>
        <vertAlign val="subscript"/>
        <sz val="10"/>
        <rFont val="Arial"/>
        <family val="2"/>
      </rPr>
      <t>rid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</si>
  <si>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</t>
    </r>
  </si>
  <si>
    <r>
      <t>N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</t>
    </r>
  </si>
  <si>
    <t>coordinata est del punto P della corda</t>
  </si>
  <si>
    <t>coordinata nord del punto P della corda</t>
  </si>
  <si>
    <r>
      <t>φ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</t>
    </r>
  </si>
  <si>
    <r>
      <t>λ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=</t>
    </r>
  </si>
  <si>
    <t>latitudine del punto P della corda</t>
  </si>
  <si>
    <t>longitudine del punto P della corda</t>
  </si>
  <si>
    <t>raggio di curvatura primo verticale nel punto P della corda</t>
  </si>
  <si>
    <t>raggio di curvatura meridiano nel punto P della corda</t>
  </si>
  <si>
    <r>
      <t>ρ</t>
    </r>
    <r>
      <rPr>
        <b/>
        <vertAlign val="subscript"/>
        <sz val="10"/>
        <rFont val="Arial"/>
        <family val="2"/>
      </rPr>
      <t>p =</t>
    </r>
  </si>
  <si>
    <r>
      <rPr>
        <b/>
        <sz val="10"/>
        <rFont val="Calibri"/>
        <family val="2"/>
      </rPr>
      <t>ε</t>
    </r>
    <r>
      <rPr>
        <b/>
        <vertAlign val="subscript"/>
        <sz val="10"/>
        <rFont val="Arial"/>
        <family val="2"/>
      </rPr>
      <t>12</t>
    </r>
    <r>
      <rPr>
        <b/>
        <sz val="10"/>
        <rFont val="Arial"/>
        <family val="2"/>
      </rPr>
      <t xml:space="preserve"> =</t>
    </r>
  </si>
  <si>
    <r>
      <rPr>
        <b/>
        <sz val="10"/>
        <rFont val="Calibri"/>
        <family val="2"/>
      </rPr>
      <t>ε</t>
    </r>
    <r>
      <rPr>
        <b/>
        <vertAlign val="subscript"/>
        <sz val="10"/>
        <rFont val="Arial"/>
        <family val="2"/>
      </rPr>
      <t>21</t>
    </r>
    <r>
      <rPr>
        <b/>
        <sz val="10"/>
        <rFont val="Arial"/>
        <family val="2"/>
      </rPr>
      <t xml:space="preserve"> =</t>
    </r>
  </si>
  <si>
    <t>grid convergence &amp; linear module &amp; arc-to-chord correction</t>
  </si>
  <si>
    <r>
      <t>(1-e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)(1+e'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)=1</t>
    </r>
  </si>
  <si>
    <r>
      <t>√(1-e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</si>
  <si>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1-e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sin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φ = W</t>
    </r>
    <r>
      <rPr>
        <b/>
        <vertAlign val="superscript"/>
        <sz val="10"/>
        <rFont val="Arial"/>
        <family val="2"/>
      </rPr>
      <t>2</t>
    </r>
  </si>
  <si>
    <t>(a-b)/a+b) = n</t>
  </si>
  <si>
    <r>
      <t>(a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-b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)/(a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+b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= m</t>
    </r>
  </si>
  <si>
    <r>
      <t>1+e'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cos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φ = V</t>
    </r>
    <r>
      <rPr>
        <b/>
        <vertAlign val="superscript"/>
        <sz val="10"/>
        <rFont val="Arial"/>
        <family val="2"/>
      </rPr>
      <t>2</t>
    </r>
  </si>
  <si>
    <t>raggio geocentrico h=0</t>
  </si>
  <si>
    <t>latitudine geocentrica h=0</t>
  </si>
  <si>
    <t>con h≠0</t>
  </si>
  <si>
    <t>e''</t>
  </si>
  <si>
    <r>
      <t>n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s</t>
    </r>
    <r>
      <rPr>
        <b/>
        <vertAlign val="subscript"/>
        <sz val="10"/>
        <rFont val="Arial"/>
        <family val="2"/>
      </rPr>
      <t>3</t>
    </r>
  </si>
  <si>
    <r>
      <t>m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e''</t>
    </r>
    <r>
      <rPr>
        <b/>
        <vertAlign val="superscript"/>
        <sz val="10"/>
        <rFont val="Arial"/>
        <family val="2"/>
      </rPr>
      <t>2</t>
    </r>
  </si>
  <si>
    <t>Realization by Michele T. Mazzucato - updated August 2021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</si>
</sst>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0000000"/>
    <numFmt numFmtId="168" formatCode="0.0000000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"/>
    <numFmt numFmtId="174" formatCode="0.00000"/>
    <numFmt numFmtId="175" formatCode="0.0000000"/>
    <numFmt numFmtId="176" formatCode="0.00000000"/>
    <numFmt numFmtId="177" formatCode="0.0000000000"/>
    <numFmt numFmtId="178" formatCode="0.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  <numFmt numFmtId="189" formatCode="0.00000000000000000000000"/>
    <numFmt numFmtId="190" formatCode="0.000000000000000000000000"/>
    <numFmt numFmtId="191" formatCode="0.0000E+00"/>
    <numFmt numFmtId="192" formatCode="0.000E+00"/>
    <numFmt numFmtId="193" formatCode="0.0E+00"/>
    <numFmt numFmtId="194" formatCode="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000000E+00"/>
    <numFmt numFmtId="202" formatCode="0.000000000000E+00"/>
    <numFmt numFmtId="203" formatCode="0.0000000000000E+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0.0000000000000000000000000"/>
    <numFmt numFmtId="212" formatCode="0.00000000000000000000000000"/>
    <numFmt numFmtId="213" formatCode="0.000000000000000000000000000"/>
  </numFmts>
  <fonts count="6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u val="single"/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5"/>
      <name val="Times New Roman"/>
      <family val="1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name val="Courier New"/>
      <family val="3"/>
    </font>
    <font>
      <vertAlign val="subscript"/>
      <sz val="10"/>
      <name val="Courier New"/>
      <family val="3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44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165" fontId="1" fillId="33" borderId="0" xfId="0" applyNumberFormat="1" applyFont="1" applyFill="1" applyBorder="1" applyAlignment="1" applyProtection="1">
      <alignment horizontal="centerContinuous"/>
      <protection hidden="1" locked="0"/>
    </xf>
    <xf numFmtId="167" fontId="1" fillId="33" borderId="0" xfId="0" applyNumberFormat="1" applyFont="1" applyFill="1" applyBorder="1" applyAlignment="1" applyProtection="1">
      <alignment horizontal="center"/>
      <protection hidden="1" locked="0"/>
    </xf>
    <xf numFmtId="165" fontId="1" fillId="33" borderId="0" xfId="0" applyNumberFormat="1" applyFont="1" applyFill="1" applyBorder="1" applyAlignment="1" applyProtection="1">
      <alignment horizontal="center"/>
      <protection hidden="1" locked="0"/>
    </xf>
    <xf numFmtId="0" fontId="3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167" fontId="0" fillId="35" borderId="0" xfId="0" applyNumberFormat="1" applyFont="1" applyFill="1" applyBorder="1" applyAlignment="1" applyProtection="1">
      <alignment/>
      <protection hidden="1"/>
    </xf>
    <xf numFmtId="168" fontId="0" fillId="35" borderId="0" xfId="0" applyNumberFormat="1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 horizontal="center"/>
      <protection hidden="1"/>
    </xf>
    <xf numFmtId="2" fontId="1" fillId="36" borderId="0" xfId="0" applyNumberFormat="1" applyFont="1" applyFill="1" applyBorder="1" applyAlignment="1" applyProtection="1">
      <alignment horizontal="center"/>
      <protection hidden="1"/>
    </xf>
    <xf numFmtId="165" fontId="0" fillId="35" borderId="0" xfId="0" applyNumberFormat="1" applyFont="1" applyFill="1" applyBorder="1" applyAlignment="1" applyProtection="1">
      <alignment/>
      <protection hidden="1"/>
    </xf>
    <xf numFmtId="166" fontId="1" fillId="33" borderId="0" xfId="0" applyNumberFormat="1" applyFont="1" applyFill="1" applyBorder="1" applyAlignment="1" applyProtection="1">
      <alignment horizontal="centerContinuous"/>
      <protection hidden="1" locked="0"/>
    </xf>
    <xf numFmtId="166" fontId="1" fillId="33" borderId="0" xfId="0" applyNumberFormat="1" applyFont="1" applyFill="1" applyBorder="1" applyAlignment="1" applyProtection="1">
      <alignment horizontal="center"/>
      <protection hidden="1" locked="0"/>
    </xf>
    <xf numFmtId="0" fontId="0" fillId="36" borderId="0" xfId="0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 horizontal="right"/>
      <protection hidden="1"/>
    </xf>
    <xf numFmtId="165" fontId="1" fillId="36" borderId="0" xfId="0" applyNumberFormat="1" applyFont="1" applyFill="1" applyBorder="1" applyAlignment="1" applyProtection="1">
      <alignment horizontal="centerContinuous"/>
      <protection hidden="1"/>
    </xf>
    <xf numFmtId="166" fontId="0" fillId="35" borderId="0" xfId="0" applyNumberFormat="1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165" fontId="0" fillId="35" borderId="0" xfId="0" applyNumberFormat="1" applyFill="1" applyBorder="1" applyAlignment="1" applyProtection="1">
      <alignment/>
      <protection hidden="1"/>
    </xf>
    <xf numFmtId="166" fontId="0" fillId="35" borderId="0" xfId="0" applyNumberFormat="1" applyFill="1" applyBorder="1" applyAlignment="1" applyProtection="1">
      <alignment/>
      <protection hidden="1"/>
    </xf>
    <xf numFmtId="168" fontId="0" fillId="35" borderId="0" xfId="0" applyNumberFormat="1" applyFont="1" applyFill="1" applyBorder="1" applyAlignment="1" applyProtection="1">
      <alignment horizontal="right"/>
      <protection hidden="1"/>
    </xf>
    <xf numFmtId="167" fontId="0" fillId="36" borderId="0" xfId="0" applyNumberFormat="1" applyFont="1" applyFill="1" applyBorder="1" applyAlignment="1" applyProtection="1">
      <alignment horizontal="center"/>
      <protection hidden="1"/>
    </xf>
    <xf numFmtId="0" fontId="1" fillId="36" borderId="0" xfId="0" applyFont="1" applyFill="1" applyBorder="1" applyAlignment="1" applyProtection="1">
      <alignment horizontal="centerContinuous"/>
      <protection hidden="1"/>
    </xf>
    <xf numFmtId="0" fontId="3" fillId="36" borderId="0" xfId="0" applyFont="1" applyFill="1" applyBorder="1" applyAlignment="1" applyProtection="1">
      <alignment horizontal="right"/>
      <protection hidden="1"/>
    </xf>
    <xf numFmtId="166" fontId="1" fillId="36" borderId="0" xfId="0" applyNumberFormat="1" applyFont="1" applyFill="1" applyBorder="1" applyAlignment="1" applyProtection="1">
      <alignment horizontal="centerContinuous"/>
      <protection hidden="1"/>
    </xf>
    <xf numFmtId="167" fontId="1" fillId="36" borderId="0" xfId="0" applyNumberFormat="1" applyFont="1" applyFill="1" applyBorder="1" applyAlignment="1" applyProtection="1">
      <alignment horizontal="center"/>
      <protection hidden="1"/>
    </xf>
    <xf numFmtId="166" fontId="1" fillId="36" borderId="0" xfId="0" applyNumberFormat="1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0" fontId="3" fillId="36" borderId="0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/>
      <protection hidden="1"/>
    </xf>
    <xf numFmtId="166" fontId="3" fillId="36" borderId="0" xfId="0" applyNumberFormat="1" applyFont="1" applyFill="1" applyBorder="1" applyAlignment="1" applyProtection="1">
      <alignment horizontal="center"/>
      <protection hidden="1"/>
    </xf>
    <xf numFmtId="0" fontId="1" fillId="36" borderId="0" xfId="0" applyFont="1" applyFill="1" applyBorder="1" applyAlignment="1" applyProtection="1">
      <alignment horizontal="center"/>
      <protection hidden="1"/>
    </xf>
    <xf numFmtId="2" fontId="3" fillId="36" borderId="0" xfId="0" applyNumberFormat="1" applyFont="1" applyFill="1" applyBorder="1" applyAlignment="1" applyProtection="1">
      <alignment horizontal="center"/>
      <protection hidden="1"/>
    </xf>
    <xf numFmtId="2" fontId="0" fillId="36" borderId="0" xfId="0" applyNumberFormat="1" applyFont="1" applyFill="1" applyBorder="1" applyAlignment="1" applyProtection="1">
      <alignment/>
      <protection hidden="1"/>
    </xf>
    <xf numFmtId="2" fontId="0" fillId="36" borderId="0" xfId="0" applyNumberFormat="1" applyFont="1" applyFill="1" applyBorder="1" applyAlignment="1" applyProtection="1">
      <alignment horizontal="left"/>
      <protection hidden="1"/>
    </xf>
    <xf numFmtId="0" fontId="5" fillId="36" borderId="0" xfId="0" applyFont="1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1" fillId="36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6" borderId="0" xfId="0" applyFont="1" applyFill="1" applyAlignment="1" applyProtection="1">
      <alignment horizontal="right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165" fontId="0" fillId="37" borderId="0" xfId="0" applyNumberFormat="1" applyFill="1" applyAlignment="1" applyProtection="1">
      <alignment horizontal="center"/>
      <protection hidden="1"/>
    </xf>
    <xf numFmtId="0" fontId="1" fillId="3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5" fontId="0" fillId="0" borderId="0" xfId="0" applyNumberFormat="1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38" borderId="0" xfId="0" applyFill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168" fontId="0" fillId="35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5" fontId="0" fillId="37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5" fontId="0" fillId="37" borderId="0" xfId="0" applyNumberFormat="1" applyFont="1" applyFill="1" applyAlignment="1" applyProtection="1">
      <alignment horizontal="center"/>
      <protection hidden="1"/>
    </xf>
    <xf numFmtId="165" fontId="0" fillId="0" borderId="0" xfId="0" applyNumberFormat="1" applyFont="1" applyFill="1" applyAlignment="1" applyProtection="1">
      <alignment horizontal="center"/>
      <protection hidden="1"/>
    </xf>
    <xf numFmtId="0" fontId="11" fillId="0" borderId="0" xfId="0" applyFont="1" applyAlignment="1">
      <alignment horizontal="center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1" fillId="0" borderId="0" xfId="0" applyFont="1" applyAlignment="1">
      <alignment/>
    </xf>
    <xf numFmtId="0" fontId="0" fillId="35" borderId="0" xfId="0" applyFill="1" applyAlignment="1" applyProtection="1">
      <alignment horizontal="center"/>
      <protection hidden="1"/>
    </xf>
    <xf numFmtId="168" fontId="0" fillId="35" borderId="0" xfId="0" applyNumberFormat="1" applyFill="1" applyAlignment="1" applyProtection="1">
      <alignment horizontal="center"/>
      <protection hidden="1"/>
    </xf>
    <xf numFmtId="165" fontId="0" fillId="35" borderId="0" xfId="0" applyNumberFormat="1" applyFill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 horizontal="center"/>
      <protection hidden="1"/>
    </xf>
    <xf numFmtId="166" fontId="1" fillId="33" borderId="0" xfId="0" applyNumberFormat="1" applyFont="1" applyFill="1" applyAlignment="1" applyProtection="1">
      <alignment horizontal="center"/>
      <protection hidden="1"/>
    </xf>
    <xf numFmtId="168" fontId="0" fillId="35" borderId="0" xfId="46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Alignment="1">
      <alignment/>
    </xf>
    <xf numFmtId="0" fontId="0" fillId="36" borderId="0" xfId="0" applyFont="1" applyFill="1" applyBorder="1" applyAlignment="1" applyProtection="1">
      <alignment horizontal="center"/>
      <protection hidden="1"/>
    </xf>
    <xf numFmtId="0" fontId="1" fillId="38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1" fillId="0" borderId="0" xfId="0" applyFont="1" applyBorder="1" applyAlignment="1" applyProtection="1">
      <alignment horizontal="right"/>
      <protection hidden="1"/>
    </xf>
    <xf numFmtId="49" fontId="0" fillId="0" borderId="0" xfId="0" applyNumberFormat="1" applyAlignment="1">
      <alignment/>
    </xf>
    <xf numFmtId="0" fontId="13" fillId="0" borderId="0" xfId="36" applyAlignment="1" applyProtection="1">
      <alignment/>
      <protection/>
    </xf>
    <xf numFmtId="0" fontId="19" fillId="0" borderId="0" xfId="36" applyFont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 hidden="1"/>
    </xf>
    <xf numFmtId="165" fontId="1" fillId="35" borderId="10" xfId="0" applyNumberFormat="1" applyFont="1" applyFill="1" applyBorder="1" applyAlignment="1" applyProtection="1">
      <alignment horizontal="center"/>
      <protection hidden="1"/>
    </xf>
    <xf numFmtId="165" fontId="1" fillId="35" borderId="10" xfId="0" applyNumberFormat="1" applyFont="1" applyFill="1" applyBorder="1" applyAlignment="1" applyProtection="1">
      <alignment/>
      <protection hidden="1"/>
    </xf>
    <xf numFmtId="0" fontId="1" fillId="35" borderId="1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/>
    </xf>
    <xf numFmtId="0" fontId="0" fillId="37" borderId="0" xfId="0" applyFill="1" applyAlignment="1" applyProtection="1">
      <alignment/>
      <protection hidden="1"/>
    </xf>
    <xf numFmtId="0" fontId="19" fillId="37" borderId="0" xfId="36" applyFont="1" applyFill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 hidden="1"/>
    </xf>
    <xf numFmtId="0" fontId="19" fillId="0" borderId="0" xfId="36" applyFont="1" applyFill="1" applyAlignment="1" applyProtection="1">
      <alignment horizontal="center"/>
      <protection/>
    </xf>
    <xf numFmtId="0" fontId="13" fillId="0" borderId="0" xfId="36" applyFont="1" applyAlignment="1" applyProtection="1">
      <alignment/>
      <protection/>
    </xf>
    <xf numFmtId="0" fontId="13" fillId="0" borderId="0" xfId="36" applyFont="1" applyAlignment="1" applyProtection="1">
      <alignment/>
      <protection/>
    </xf>
    <xf numFmtId="0" fontId="0" fillId="0" borderId="0" xfId="0" applyFont="1" applyAlignment="1">
      <alignment/>
    </xf>
    <xf numFmtId="165" fontId="0" fillId="39" borderId="0" xfId="0" applyNumberFormat="1" applyFont="1" applyFill="1" applyBorder="1" applyAlignment="1" applyProtection="1">
      <alignment horizontal="center"/>
      <protection hidden="1"/>
    </xf>
    <xf numFmtId="167" fontId="0" fillId="39" borderId="0" xfId="0" applyNumberFormat="1" applyFont="1" applyFill="1" applyBorder="1" applyAlignment="1" applyProtection="1">
      <alignment horizontal="center"/>
      <protection hidden="1"/>
    </xf>
    <xf numFmtId="167" fontId="0" fillId="39" borderId="0" xfId="0" applyNumberForma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1" fillId="39" borderId="0" xfId="0" applyFont="1" applyFill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0" fillId="39" borderId="0" xfId="0" applyFill="1" applyBorder="1" applyAlignment="1" applyProtection="1">
      <alignment/>
      <protection hidden="1"/>
    </xf>
    <xf numFmtId="164" fontId="0" fillId="39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Border="1" applyAlignment="1" applyProtection="1">
      <alignment horizontal="center"/>
      <protection hidden="1"/>
    </xf>
    <xf numFmtId="165" fontId="0" fillId="39" borderId="0" xfId="0" applyNumberFormat="1" applyFill="1" applyBorder="1" applyAlignment="1" applyProtection="1">
      <alignment horizontal="center"/>
      <protection hidden="1"/>
    </xf>
    <xf numFmtId="0" fontId="0" fillId="39" borderId="0" xfId="0" applyFill="1" applyBorder="1" applyAlignment="1" applyProtection="1">
      <alignment horizontal="left"/>
      <protection hidden="1"/>
    </xf>
    <xf numFmtId="0" fontId="3" fillId="39" borderId="0" xfId="0" applyFont="1" applyFill="1" applyBorder="1" applyAlignment="1" applyProtection="1">
      <alignment horizontal="center"/>
      <protection hidden="1"/>
    </xf>
    <xf numFmtId="0" fontId="1" fillId="39" borderId="0" xfId="0" applyFont="1" applyFill="1" applyBorder="1" applyAlignment="1" applyProtection="1">
      <alignment horizontal="center"/>
      <protection hidden="1"/>
    </xf>
    <xf numFmtId="0" fontId="1" fillId="39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3" fillId="0" borderId="0" xfId="36" applyAlignment="1" applyProtection="1">
      <alignment horizontal="center"/>
      <protection/>
    </xf>
    <xf numFmtId="2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35" borderId="0" xfId="0" applyNumberFormat="1" applyFont="1" applyFill="1" applyBorder="1" applyAlignment="1" applyProtection="1">
      <alignment horizontal="center"/>
      <protection hidden="1"/>
    </xf>
    <xf numFmtId="166" fontId="0" fillId="35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5" fontId="1" fillId="35" borderId="0" xfId="0" applyNumberFormat="1" applyFont="1" applyFill="1" applyBorder="1" applyAlignment="1" applyProtection="1">
      <alignment horizontal="center"/>
      <protection hidden="1"/>
    </xf>
    <xf numFmtId="166" fontId="1" fillId="33" borderId="0" xfId="0" applyNumberFormat="1" applyFont="1" applyFill="1" applyAlignment="1" applyProtection="1">
      <alignment horizontal="center"/>
      <protection hidden="1" locked="0"/>
    </xf>
    <xf numFmtId="165" fontId="1" fillId="33" borderId="0" xfId="0" applyNumberFormat="1" applyFont="1" applyFill="1" applyAlignment="1" applyProtection="1">
      <alignment horizontal="center"/>
      <protection hidden="1" locked="0"/>
    </xf>
    <xf numFmtId="0" fontId="1" fillId="33" borderId="0" xfId="0" applyFont="1" applyFill="1" applyAlignment="1" applyProtection="1">
      <alignment horizontal="center"/>
      <protection hidden="1" locked="0"/>
    </xf>
    <xf numFmtId="0" fontId="1" fillId="33" borderId="0" xfId="0" applyNumberFormat="1" applyFont="1" applyFill="1" applyAlignment="1" applyProtection="1">
      <alignment horizontal="center"/>
      <protection hidden="1" locked="0"/>
    </xf>
    <xf numFmtId="0" fontId="18" fillId="0" borderId="0" xfId="36" applyFont="1" applyAlignment="1" applyProtection="1">
      <alignment horizontal="center"/>
      <protection hidden="1"/>
    </xf>
    <xf numFmtId="0" fontId="19" fillId="0" borderId="0" xfId="36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35" borderId="0" xfId="0" applyFill="1" applyAlignment="1" applyProtection="1">
      <alignment/>
      <protection hidden="1"/>
    </xf>
    <xf numFmtId="165" fontId="0" fillId="35" borderId="0" xfId="0" applyNumberForma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66" fontId="1" fillId="35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9" fillId="0" borderId="0" xfId="36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168" fontId="0" fillId="35" borderId="0" xfId="0" applyNumberFormat="1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168" fontId="0" fillId="35" borderId="0" xfId="0" applyNumberFormat="1" applyFont="1" applyFill="1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2" fontId="0" fillId="35" borderId="0" xfId="0" applyNumberFormat="1" applyFill="1" applyAlignment="1" applyProtection="1">
      <alignment horizontal="center"/>
      <protection hidden="1"/>
    </xf>
    <xf numFmtId="165" fontId="0" fillId="35" borderId="0" xfId="0" applyNumberForma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166" fontId="0" fillId="35" borderId="0" xfId="0" applyNumberForma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0" xfId="36" applyFont="1" applyAlignment="1" applyProtection="1">
      <alignment horizontal="right"/>
      <protection hidden="1"/>
    </xf>
    <xf numFmtId="2" fontId="1" fillId="0" borderId="0" xfId="0" applyNumberFormat="1" applyFont="1" applyFill="1" applyBorder="1" applyAlignment="1" applyProtection="1">
      <alignment horizontal="right"/>
      <protection hidden="1"/>
    </xf>
    <xf numFmtId="167" fontId="0" fillId="35" borderId="0" xfId="0" applyNumberFormat="1" applyFill="1" applyAlignment="1" applyProtection="1">
      <alignment/>
      <protection hidden="1"/>
    </xf>
    <xf numFmtId="168" fontId="0" fillId="0" borderId="0" xfId="0" applyNumberFormat="1" applyFill="1" applyAlignment="1" applyProtection="1">
      <alignment/>
      <protection hidden="1"/>
    </xf>
    <xf numFmtId="0" fontId="13" fillId="0" borderId="0" xfId="36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5" fontId="0" fillId="35" borderId="0" xfId="0" applyNumberFormat="1" applyFont="1" applyFill="1" applyAlignment="1" applyProtection="1">
      <alignment/>
      <protection hidden="1"/>
    </xf>
    <xf numFmtId="168" fontId="0" fillId="35" borderId="0" xfId="0" applyNumberFormat="1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4" fontId="0" fillId="0" borderId="0" xfId="0" applyNumberFormat="1" applyFont="1" applyFill="1" applyBorder="1" applyAlignment="1" applyProtection="1">
      <alignment horizontal="right"/>
      <protection hidden="1"/>
    </xf>
    <xf numFmtId="168" fontId="0" fillId="0" borderId="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center"/>
      <protection hidden="1"/>
    </xf>
    <xf numFmtId="0" fontId="21" fillId="0" borderId="0" xfId="36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68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 horizontal="center"/>
      <protection hidden="1"/>
    </xf>
    <xf numFmtId="1" fontId="20" fillId="0" borderId="0" xfId="0" applyNumberFormat="1" applyFont="1" applyFill="1" applyAlignment="1" applyProtection="1">
      <alignment horizontal="center"/>
      <protection hidden="1"/>
    </xf>
    <xf numFmtId="2" fontId="20" fillId="0" borderId="0" xfId="0" applyNumberFormat="1" applyFont="1" applyFill="1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22" fillId="0" borderId="0" xfId="0" applyFont="1" applyFill="1" applyAlignment="1" applyProtection="1">
      <alignment horizontal="center"/>
      <protection hidden="1"/>
    </xf>
    <xf numFmtId="1" fontId="0" fillId="0" borderId="0" xfId="0" applyNumberFormat="1" applyFont="1" applyFill="1" applyAlignment="1" applyProtection="1">
      <alignment horizontal="center"/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40" borderId="0" xfId="0" applyFont="1" applyFill="1" applyAlignment="1" applyProtection="1">
      <alignment horizontal="center"/>
      <protection hidden="1"/>
    </xf>
    <xf numFmtId="0" fontId="0" fillId="39" borderId="0" xfId="0" applyFont="1" applyFill="1" applyAlignment="1" applyProtection="1">
      <alignment horizontal="right"/>
      <protection hidden="1"/>
    </xf>
    <xf numFmtId="0" fontId="0" fillId="39" borderId="0" xfId="0" applyFill="1" applyAlignment="1" applyProtection="1">
      <alignment horizontal="center"/>
      <protection hidden="1"/>
    </xf>
    <xf numFmtId="167" fontId="0" fillId="39" borderId="0" xfId="0" applyNumberFormat="1" applyFill="1" applyAlignment="1" applyProtection="1">
      <alignment horizontal="center"/>
      <protection hidden="1"/>
    </xf>
    <xf numFmtId="165" fontId="0" fillId="39" borderId="0" xfId="0" applyNumberFormat="1" applyFill="1" applyAlignment="1" applyProtection="1">
      <alignment/>
      <protection hidden="1"/>
    </xf>
    <xf numFmtId="167" fontId="0" fillId="39" borderId="0" xfId="0" applyNumberFormat="1" applyFill="1" applyAlignment="1" applyProtection="1">
      <alignment/>
      <protection hidden="1"/>
    </xf>
    <xf numFmtId="167" fontId="0" fillId="39" borderId="0" xfId="0" applyNumberFormat="1" applyFont="1" applyFill="1" applyAlignment="1" applyProtection="1">
      <alignment horizontal="right"/>
      <protection hidden="1"/>
    </xf>
    <xf numFmtId="165" fontId="0" fillId="39" borderId="0" xfId="0" applyNumberFormat="1" applyFill="1" applyAlignment="1" applyProtection="1">
      <alignment horizontal="center"/>
      <protection hidden="1"/>
    </xf>
    <xf numFmtId="167" fontId="0" fillId="35" borderId="0" xfId="0" applyNumberFormat="1" applyFill="1" applyAlignment="1" applyProtection="1">
      <alignment horizontal="center"/>
      <protection hidden="1"/>
    </xf>
    <xf numFmtId="167" fontId="0" fillId="35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167" fontId="1" fillId="33" borderId="0" xfId="0" applyNumberFormat="1" applyFont="1" applyFill="1" applyAlignment="1" applyProtection="1">
      <alignment horizontal="center"/>
      <protection hidden="1" locked="0"/>
    </xf>
    <xf numFmtId="166" fontId="1" fillId="35" borderId="0" xfId="0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/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165" fontId="1" fillId="35" borderId="0" xfId="0" applyNumberFormat="1" applyFont="1" applyFill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 horizontal="center"/>
      <protection hidden="1"/>
    </xf>
    <xf numFmtId="168" fontId="1" fillId="35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165" fontId="1" fillId="35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166" fontId="1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" fillId="35" borderId="10" xfId="0" applyFont="1" applyFill="1" applyBorder="1" applyAlignment="1" applyProtection="1">
      <alignment horizontal="center"/>
      <protection hidden="1"/>
    </xf>
    <xf numFmtId="168" fontId="1" fillId="35" borderId="10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Alignment="1" applyProtection="1">
      <alignment/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30" fillId="0" borderId="0" xfId="0" applyFont="1" applyAlignment="1" applyProtection="1">
      <alignment horizontal="right"/>
      <protection hidden="1"/>
    </xf>
    <xf numFmtId="168" fontId="1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173" fontId="1" fillId="35" borderId="1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Fill="1" applyAlignment="1" applyProtection="1">
      <alignment horizontal="center"/>
      <protection hidden="1"/>
    </xf>
    <xf numFmtId="173" fontId="1" fillId="0" borderId="0" xfId="0" applyNumberFormat="1" applyFont="1" applyFill="1" applyBorder="1" applyAlignment="1" applyProtection="1">
      <alignment horizontal="center"/>
      <protection hidden="1"/>
    </xf>
    <xf numFmtId="165" fontId="1" fillId="35" borderId="10" xfId="0" applyNumberFormat="1" applyFont="1" applyFill="1" applyBorder="1" applyAlignment="1" applyProtection="1">
      <alignment horizontal="center"/>
      <protection hidden="1"/>
    </xf>
    <xf numFmtId="1" fontId="1" fillId="33" borderId="0" xfId="0" applyNumberFormat="1" applyFont="1" applyFill="1" applyAlignment="1" applyProtection="1">
      <alignment horizontal="center"/>
      <protection hidden="1" locked="0"/>
    </xf>
    <xf numFmtId="173" fontId="1" fillId="33" borderId="0" xfId="0" applyNumberFormat="1" applyFont="1" applyFill="1" applyAlignment="1" applyProtection="1">
      <alignment horizontal="center"/>
      <protection hidden="1" locked="0"/>
    </xf>
    <xf numFmtId="49" fontId="0" fillId="0" borderId="0" xfId="0" applyNumberForma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1" fontId="16" fillId="35" borderId="10" xfId="0" applyNumberFormat="1" applyFont="1" applyFill="1" applyBorder="1" applyAlignment="1" applyProtection="1">
      <alignment horizontal="center"/>
      <protection hidden="1"/>
    </xf>
    <xf numFmtId="2" fontId="16" fillId="35" borderId="10" xfId="0" applyNumberFormat="1" applyFont="1" applyFill="1" applyBorder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 horizontal="center"/>
      <protection hidden="1"/>
    </xf>
    <xf numFmtId="2" fontId="0" fillId="0" borderId="0" xfId="0" applyNumberFormat="1" applyFill="1" applyAlignment="1" applyProtection="1">
      <alignment/>
      <protection hidden="1"/>
    </xf>
    <xf numFmtId="168" fontId="0" fillId="0" borderId="0" xfId="0" applyNumberFormat="1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213" fontId="0" fillId="0" borderId="0" xfId="0" applyNumberFormat="1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165" fontId="0" fillId="0" borderId="0" xfId="0" applyNumberFormat="1" applyFill="1" applyAlignment="1" applyProtection="1">
      <alignment/>
      <protection hidden="1"/>
    </xf>
    <xf numFmtId="173" fontId="0" fillId="0" borderId="0" xfId="0" applyNumberFormat="1" applyFill="1" applyAlignment="1" applyProtection="1">
      <alignment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168" fontId="16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0" fontId="16" fillId="38" borderId="0" xfId="0" applyFont="1" applyFill="1" applyAlignment="1">
      <alignment horizontal="center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Alignment="1">
      <alignment horizontal="left"/>
    </xf>
    <xf numFmtId="168" fontId="0" fillId="35" borderId="0" xfId="0" applyNumberFormat="1" applyFill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165" fontId="0" fillId="35" borderId="0" xfId="0" applyNumberFormat="1" applyFill="1" applyAlignment="1" applyProtection="1">
      <alignment horizontal="center"/>
      <protection hidden="1"/>
    </xf>
    <xf numFmtId="184" fontId="0" fillId="35" borderId="0" xfId="0" applyNumberFormat="1" applyFill="1" applyAlignment="1" applyProtection="1">
      <alignment horizontal="right"/>
      <protection hidden="1"/>
    </xf>
    <xf numFmtId="0" fontId="1" fillId="38" borderId="0" xfId="0" applyFont="1" applyFill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1" fillId="38" borderId="0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167" fontId="0" fillId="39" borderId="0" xfId="0" applyNumberFormat="1" applyFont="1" applyFill="1" applyBorder="1" applyAlignment="1" applyProtection="1">
      <alignment horizontal="center"/>
      <protection hidden="1"/>
    </xf>
    <xf numFmtId="166" fontId="0" fillId="36" borderId="0" xfId="0" applyNumberFormat="1" applyFont="1" applyFill="1" applyBorder="1" applyAlignment="1" applyProtection="1">
      <alignment horizontal="center"/>
      <protection hidden="1"/>
    </xf>
    <xf numFmtId="2" fontId="0" fillId="36" borderId="0" xfId="0" applyNumberFormat="1" applyFont="1" applyFill="1" applyBorder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/>
      <protection hidden="1"/>
    </xf>
    <xf numFmtId="0" fontId="13" fillId="36" borderId="0" xfId="36" applyFill="1" applyBorder="1" applyAlignment="1" applyProtection="1">
      <alignment horizontal="center"/>
      <protection hidden="1"/>
    </xf>
    <xf numFmtId="0" fontId="1" fillId="36" borderId="0" xfId="0" applyFont="1" applyFill="1" applyAlignment="1" applyProtection="1">
      <alignment horizontal="center"/>
      <protection hidden="1"/>
    </xf>
    <xf numFmtId="0" fontId="1" fillId="36" borderId="0" xfId="0" applyFont="1" applyFill="1" applyBorder="1" applyAlignment="1" applyProtection="1">
      <alignment horizontal="center"/>
      <protection hidden="1"/>
    </xf>
    <xf numFmtId="0" fontId="13" fillId="36" borderId="0" xfId="36" applyFill="1" applyBorder="1" applyAlignment="1" applyProtection="1">
      <alignment horizontal="center"/>
      <protection/>
    </xf>
    <xf numFmtId="2" fontId="1" fillId="36" borderId="0" xfId="0" applyNumberFormat="1" applyFont="1" applyFill="1" applyBorder="1" applyAlignment="1" applyProtection="1">
      <alignment horizontal="center"/>
      <protection hidden="1"/>
    </xf>
    <xf numFmtId="167" fontId="1" fillId="35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5" fontId="1" fillId="35" borderId="0" xfId="0" applyNumberFormat="1" applyFont="1" applyFill="1" applyBorder="1" applyAlignment="1" applyProtection="1">
      <alignment horizontal="center"/>
      <protection hidden="1"/>
    </xf>
    <xf numFmtId="167" fontId="1" fillId="35" borderId="0" xfId="0" applyNumberFormat="1" applyFont="1" applyFill="1" applyBorder="1" applyAlignment="1" applyProtection="1">
      <alignment horizontal="center"/>
      <protection hidden="1"/>
    </xf>
    <xf numFmtId="0" fontId="1" fillId="38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4" borderId="0" xfId="0" applyFont="1" applyFill="1" applyAlignment="1" applyProtection="1">
      <alignment horizontal="left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1" fillId="41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1" fillId="42" borderId="0" xfId="0" applyFont="1" applyFill="1" applyAlignment="1" applyProtection="1">
      <alignment horizont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74</xdr:row>
      <xdr:rowOff>28575</xdr:rowOff>
    </xdr:from>
    <xdr:to>
      <xdr:col>10</xdr:col>
      <xdr:colOff>590550</xdr:colOff>
      <xdr:row>90</xdr:row>
      <xdr:rowOff>180975</xdr:rowOff>
    </xdr:to>
    <xdr:pic>
      <xdr:nvPicPr>
        <xdr:cNvPr id="1" name="Picture 7" descr="formula Helmert, 1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4830425"/>
          <a:ext cx="47148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68</xdr:row>
      <xdr:rowOff>47625</xdr:rowOff>
    </xdr:from>
    <xdr:to>
      <xdr:col>7</xdr:col>
      <xdr:colOff>819150</xdr:colOff>
      <xdr:row>70</xdr:row>
      <xdr:rowOff>47625</xdr:rowOff>
    </xdr:to>
    <xdr:pic>
      <xdr:nvPicPr>
        <xdr:cNvPr id="2" name="Picture 8" descr="formula di Ramanujan I, 1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3649325"/>
          <a:ext cx="2819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111</xdr:row>
      <xdr:rowOff>76200</xdr:rowOff>
    </xdr:from>
    <xdr:to>
      <xdr:col>5</xdr:col>
      <xdr:colOff>514350</xdr:colOff>
      <xdr:row>113</xdr:row>
      <xdr:rowOff>28575</xdr:rowOff>
    </xdr:to>
    <xdr:pic>
      <xdr:nvPicPr>
        <xdr:cNvPr id="3" name="Picture 9" descr="formula Orizzonte geometric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2278975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11</xdr:row>
      <xdr:rowOff>47625</xdr:rowOff>
    </xdr:from>
    <xdr:to>
      <xdr:col>7</xdr:col>
      <xdr:colOff>342900</xdr:colOff>
      <xdr:row>26</xdr:row>
      <xdr:rowOff>0</xdr:rowOff>
    </xdr:to>
    <xdr:pic>
      <xdr:nvPicPr>
        <xdr:cNvPr id="1" name="Picture 12" descr="formula Andoyer, 1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247900"/>
          <a:ext cx="36099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44</xdr:row>
      <xdr:rowOff>38100</xdr:rowOff>
    </xdr:from>
    <xdr:to>
      <xdr:col>7</xdr:col>
      <xdr:colOff>66675</xdr:colOff>
      <xdr:row>49</xdr:row>
      <xdr:rowOff>95250</xdr:rowOff>
    </xdr:to>
    <xdr:pic>
      <xdr:nvPicPr>
        <xdr:cNvPr id="2" name="Picture 16" descr="formula havers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8839200"/>
          <a:ext cx="3362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25</xdr:row>
      <xdr:rowOff>95250</xdr:rowOff>
    </xdr:from>
    <xdr:to>
      <xdr:col>13</xdr:col>
      <xdr:colOff>66675</xdr:colOff>
      <xdr:row>49</xdr:row>
      <xdr:rowOff>85725</xdr:rowOff>
    </xdr:to>
    <xdr:pic>
      <xdr:nvPicPr>
        <xdr:cNvPr id="1" name="Immagine 2" descr="formula coordina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095875"/>
          <a:ext cx="71151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18</xdr:row>
      <xdr:rowOff>95250</xdr:rowOff>
    </xdr:from>
    <xdr:to>
      <xdr:col>12</xdr:col>
      <xdr:colOff>190500</xdr:colOff>
      <xdr:row>33</xdr:row>
      <xdr:rowOff>57150</xdr:rowOff>
    </xdr:to>
    <xdr:pic>
      <xdr:nvPicPr>
        <xdr:cNvPr id="1" name="Picture 5" descr="formule Jadanza, 1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695700"/>
          <a:ext cx="75438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112</xdr:row>
      <xdr:rowOff>104775</xdr:rowOff>
    </xdr:from>
    <xdr:to>
      <xdr:col>7</xdr:col>
      <xdr:colOff>190500</xdr:colOff>
      <xdr:row>120</xdr:row>
      <xdr:rowOff>190500</xdr:rowOff>
    </xdr:to>
    <xdr:pic>
      <xdr:nvPicPr>
        <xdr:cNvPr id="2" name="Immagine 5" descr="teoremi Clairaut &amp; Meusni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2507575"/>
          <a:ext cx="3505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42</xdr:row>
      <xdr:rowOff>142875</xdr:rowOff>
    </xdr:from>
    <xdr:to>
      <xdr:col>11</xdr:col>
      <xdr:colOff>276225</xdr:colOff>
      <xdr:row>56</xdr:row>
      <xdr:rowOff>28575</xdr:rowOff>
    </xdr:to>
    <xdr:pic>
      <xdr:nvPicPr>
        <xdr:cNvPr id="3" name="Immagine 5" descr="sviluppi Legendre-Delamb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8543925"/>
          <a:ext cx="63817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74</xdr:row>
      <xdr:rowOff>171450</xdr:rowOff>
    </xdr:from>
    <xdr:to>
      <xdr:col>12</xdr:col>
      <xdr:colOff>200025</xdr:colOff>
      <xdr:row>102</xdr:row>
      <xdr:rowOff>142875</xdr:rowOff>
    </xdr:to>
    <xdr:pic>
      <xdr:nvPicPr>
        <xdr:cNvPr id="4" name="Immagine 5" descr="sviluppi in serie 5° ordine (SEGNI)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4973300"/>
          <a:ext cx="750570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30</xdr:row>
      <xdr:rowOff>104775</xdr:rowOff>
    </xdr:from>
    <xdr:to>
      <xdr:col>13</xdr:col>
      <xdr:colOff>219075</xdr:colOff>
      <xdr:row>52</xdr:row>
      <xdr:rowOff>47625</xdr:rowOff>
    </xdr:to>
    <xdr:pic>
      <xdr:nvPicPr>
        <xdr:cNvPr id="1" name="Picture 4" descr="formule Hirvonen, 1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105525"/>
          <a:ext cx="758190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53</xdr:row>
      <xdr:rowOff>76200</xdr:rowOff>
    </xdr:from>
    <xdr:to>
      <xdr:col>14</xdr:col>
      <xdr:colOff>504825</xdr:colOff>
      <xdr:row>84</xdr:row>
      <xdr:rowOff>114300</xdr:rowOff>
    </xdr:to>
    <xdr:pic>
      <xdr:nvPicPr>
        <xdr:cNvPr id="1" name="Picture 57" descr="formule Hirvonen, 1970 (E;N inverso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0677525"/>
          <a:ext cx="4238625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53</xdr:row>
      <xdr:rowOff>85725</xdr:rowOff>
    </xdr:from>
    <xdr:to>
      <xdr:col>6</xdr:col>
      <xdr:colOff>781050</xdr:colOff>
      <xdr:row>81</xdr:row>
      <xdr:rowOff>38100</xdr:rowOff>
    </xdr:to>
    <xdr:pic>
      <xdr:nvPicPr>
        <xdr:cNvPr id="2" name="Picture 58" descr="formule Hirvonen, 1970 (N;E diretto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687050"/>
          <a:ext cx="4219575" cy="555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86</xdr:row>
      <xdr:rowOff>76200</xdr:rowOff>
    </xdr:from>
    <xdr:to>
      <xdr:col>10</xdr:col>
      <xdr:colOff>238125</xdr:colOff>
      <xdr:row>104</xdr:row>
      <xdr:rowOff>114300</xdr:rowOff>
    </xdr:to>
    <xdr:pic>
      <xdr:nvPicPr>
        <xdr:cNvPr id="3" name="Picture 59" descr="Tabella Fuso UT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7278350"/>
          <a:ext cx="68199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106</xdr:row>
      <xdr:rowOff>66675</xdr:rowOff>
    </xdr:from>
    <xdr:to>
      <xdr:col>6</xdr:col>
      <xdr:colOff>838200</xdr:colOff>
      <xdr:row>127</xdr:row>
      <xdr:rowOff>85725</xdr:rowOff>
    </xdr:to>
    <xdr:pic>
      <xdr:nvPicPr>
        <xdr:cNvPr id="4" name="Picture 60" descr="Tabella Fascia UT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21269325"/>
          <a:ext cx="35433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128</xdr:row>
      <xdr:rowOff>76200</xdr:rowOff>
    </xdr:from>
    <xdr:to>
      <xdr:col>12</xdr:col>
      <xdr:colOff>304800</xdr:colOff>
      <xdr:row>150</xdr:row>
      <xdr:rowOff>190500</xdr:rowOff>
    </xdr:to>
    <xdr:pic>
      <xdr:nvPicPr>
        <xdr:cNvPr id="5" name="Immagine 5" descr="problema diretto (Ballarin)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25679400"/>
          <a:ext cx="83058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152</xdr:row>
      <xdr:rowOff>114300</xdr:rowOff>
    </xdr:from>
    <xdr:to>
      <xdr:col>14</xdr:col>
      <xdr:colOff>180975</xdr:colOff>
      <xdr:row>176</xdr:row>
      <xdr:rowOff>104775</xdr:rowOff>
    </xdr:to>
    <xdr:pic>
      <xdr:nvPicPr>
        <xdr:cNvPr id="6" name="Immagine 6" descr="problema inverso (Ballarin)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30518100"/>
          <a:ext cx="90392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16</xdr:row>
      <xdr:rowOff>133350</xdr:rowOff>
    </xdr:from>
    <xdr:to>
      <xdr:col>9</xdr:col>
      <xdr:colOff>266700</xdr:colOff>
      <xdr:row>29</xdr:row>
      <xdr:rowOff>66675</xdr:rowOff>
    </xdr:to>
    <xdr:pic>
      <xdr:nvPicPr>
        <xdr:cNvPr id="1" name="Immagine 2" descr="standard Molodensky formula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333750"/>
          <a:ext cx="62388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39</xdr:row>
      <xdr:rowOff>114300</xdr:rowOff>
    </xdr:from>
    <xdr:to>
      <xdr:col>7</xdr:col>
      <xdr:colOff>1038225</xdr:colOff>
      <xdr:row>54</xdr:row>
      <xdr:rowOff>66675</xdr:rowOff>
    </xdr:to>
    <xdr:pic>
      <xdr:nvPicPr>
        <xdr:cNvPr id="1" name="Immagine 1" descr="convergenz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915275"/>
          <a:ext cx="503872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62</xdr:row>
      <xdr:rowOff>123825</xdr:rowOff>
    </xdr:from>
    <xdr:to>
      <xdr:col>11</xdr:col>
      <xdr:colOff>257175</xdr:colOff>
      <xdr:row>75</xdr:row>
      <xdr:rowOff>104775</xdr:rowOff>
    </xdr:to>
    <xdr:pic>
      <xdr:nvPicPr>
        <xdr:cNvPr id="2" name="Immagine 2" descr="modulo deformazione puntual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2525375"/>
          <a:ext cx="72104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104775</xdr:rowOff>
    </xdr:from>
    <xdr:to>
      <xdr:col>9</xdr:col>
      <xdr:colOff>371475</xdr:colOff>
      <xdr:row>106</xdr:row>
      <xdr:rowOff>95250</xdr:rowOff>
    </xdr:to>
    <xdr:pic>
      <xdr:nvPicPr>
        <xdr:cNvPr id="3" name="Immagine 3" descr="modulo deformazione elementi finit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8707100"/>
          <a:ext cx="60579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9</xdr:col>
      <xdr:colOff>142875</xdr:colOff>
      <xdr:row>126</xdr:row>
      <xdr:rowOff>114300</xdr:rowOff>
    </xdr:to>
    <xdr:pic>
      <xdr:nvPicPr>
        <xdr:cNvPr id="4" name="Immagine 4" descr="riduzione alla corda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2802850"/>
          <a:ext cx="60102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21</xdr:row>
      <xdr:rowOff>104775</xdr:rowOff>
    </xdr:from>
    <xdr:to>
      <xdr:col>7</xdr:col>
      <xdr:colOff>123825</xdr:colOff>
      <xdr:row>40</xdr:row>
      <xdr:rowOff>19050</xdr:rowOff>
    </xdr:to>
    <xdr:pic>
      <xdr:nvPicPr>
        <xdr:cNvPr id="1" name="Picture 3" descr="conversioni angola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305300"/>
          <a:ext cx="36004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O35"/>
  <sheetViews>
    <sheetView zoomScalePageLayoutView="0" workbookViewId="0" topLeftCell="A19">
      <selection activeCell="B36" sqref="B36"/>
    </sheetView>
  </sheetViews>
  <sheetFormatPr defaultColWidth="9.140625" defaultRowHeight="15.75" customHeight="1"/>
  <cols>
    <col min="2" max="2" width="8.7109375" style="0" customWidth="1"/>
    <col min="3" max="3" width="1.7109375" style="0" customWidth="1"/>
  </cols>
  <sheetData>
    <row r="2" ht="15.75" customHeight="1">
      <c r="B2" s="80" t="s">
        <v>283</v>
      </c>
    </row>
    <row r="4" spans="2:5" ht="15.75" customHeight="1">
      <c r="B4" s="78">
        <v>1</v>
      </c>
      <c r="C4" s="78"/>
      <c r="D4" s="85" t="s">
        <v>286</v>
      </c>
      <c r="E4" s="85"/>
    </row>
    <row r="5" spans="2:3" ht="15.75" customHeight="1">
      <c r="B5" s="78"/>
      <c r="C5" s="78"/>
    </row>
    <row r="6" spans="2:5" ht="15.75" customHeight="1">
      <c r="B6" s="78">
        <v>2</v>
      </c>
      <c r="C6" s="78"/>
      <c r="D6" s="85" t="s">
        <v>287</v>
      </c>
      <c r="E6" s="85"/>
    </row>
    <row r="7" spans="2:3" ht="15.75" customHeight="1">
      <c r="B7" s="78"/>
      <c r="C7" s="78"/>
    </row>
    <row r="8" spans="2:6" ht="15.75" customHeight="1">
      <c r="B8" s="78">
        <v>3</v>
      </c>
      <c r="C8" s="78"/>
      <c r="D8" s="85" t="s">
        <v>288</v>
      </c>
      <c r="E8" s="85"/>
      <c r="F8" s="85"/>
    </row>
    <row r="9" spans="2:3" ht="15.75" customHeight="1">
      <c r="B9" s="78"/>
      <c r="C9" s="78"/>
    </row>
    <row r="10" spans="2:5" ht="15.75" customHeight="1">
      <c r="B10" s="78">
        <v>4</v>
      </c>
      <c r="C10" s="78"/>
      <c r="D10" s="85" t="s">
        <v>289</v>
      </c>
      <c r="E10" s="85"/>
    </row>
    <row r="11" spans="2:3" ht="15.75" customHeight="1">
      <c r="B11" s="78"/>
      <c r="C11" s="78"/>
    </row>
    <row r="12" spans="2:7" ht="15.75" customHeight="1">
      <c r="B12" s="78">
        <v>5</v>
      </c>
      <c r="C12" s="78"/>
      <c r="D12" s="85" t="s">
        <v>290</v>
      </c>
      <c r="E12" s="85"/>
      <c r="F12" s="85"/>
      <c r="G12" s="99"/>
    </row>
    <row r="13" spans="2:3" ht="15.75" customHeight="1">
      <c r="B13" s="78"/>
      <c r="C13" s="78"/>
    </row>
    <row r="14" spans="2:6" ht="15.75" customHeight="1">
      <c r="B14" s="78">
        <v>6</v>
      </c>
      <c r="C14" s="78"/>
      <c r="D14" s="85" t="s">
        <v>291</v>
      </c>
      <c r="E14" s="85"/>
      <c r="F14" s="85"/>
    </row>
    <row r="15" spans="2:3" ht="15.75" customHeight="1">
      <c r="B15" s="78"/>
      <c r="C15" s="78"/>
    </row>
    <row r="16" spans="2:5" ht="15.75" customHeight="1">
      <c r="B16" s="78">
        <v>7</v>
      </c>
      <c r="C16" s="78"/>
      <c r="D16" s="85" t="s">
        <v>295</v>
      </c>
      <c r="E16" s="85"/>
    </row>
    <row r="17" spans="2:3" ht="15.75" customHeight="1">
      <c r="B17" s="78"/>
      <c r="C17" s="78"/>
    </row>
    <row r="18" spans="2:6" ht="15.75" customHeight="1">
      <c r="B18" s="78">
        <v>8</v>
      </c>
      <c r="C18" s="78"/>
      <c r="D18" s="98" t="s">
        <v>341</v>
      </c>
      <c r="E18" s="98"/>
      <c r="F18" s="98"/>
    </row>
    <row r="19" spans="2:3" ht="15.75" customHeight="1">
      <c r="B19" s="78"/>
      <c r="C19" s="78"/>
    </row>
    <row r="20" spans="2:9" ht="15.75" customHeight="1">
      <c r="B20" s="78">
        <v>9</v>
      </c>
      <c r="C20" s="78"/>
      <c r="D20" s="85" t="s">
        <v>524</v>
      </c>
      <c r="E20" s="85"/>
      <c r="F20" s="85"/>
      <c r="G20" s="85"/>
      <c r="H20" s="85"/>
      <c r="I20" s="85"/>
    </row>
    <row r="21" spans="2:3" ht="15.75" customHeight="1">
      <c r="B21" s="78"/>
      <c r="C21" s="78"/>
    </row>
    <row r="22" spans="2:3" ht="15.75" customHeight="1">
      <c r="B22" s="78">
        <v>10</v>
      </c>
      <c r="C22" s="78"/>
    </row>
    <row r="23" spans="2:3" ht="15.75" customHeight="1">
      <c r="B23" s="78"/>
      <c r="C23" s="78"/>
    </row>
    <row r="24" spans="2:3" ht="15.75" customHeight="1">
      <c r="B24" s="78">
        <v>11</v>
      </c>
      <c r="C24" s="78"/>
    </row>
    <row r="25" spans="2:3" ht="15.75" customHeight="1">
      <c r="B25" s="78"/>
      <c r="C25" s="78"/>
    </row>
    <row r="26" spans="2:5" ht="15.75" customHeight="1">
      <c r="B26" s="78">
        <v>12</v>
      </c>
      <c r="C26" s="78"/>
      <c r="D26" s="97" t="s">
        <v>337</v>
      </c>
      <c r="E26" s="85"/>
    </row>
    <row r="30" spans="2:15" ht="15.75" customHeight="1">
      <c r="B30" s="81" t="s">
        <v>284</v>
      </c>
      <c r="E30" s="83" t="s">
        <v>68</v>
      </c>
      <c r="F30" s="92" t="s">
        <v>292</v>
      </c>
      <c r="G30" s="84"/>
      <c r="H30" s="84"/>
      <c r="I30" s="84"/>
      <c r="J30" s="84"/>
      <c r="K30" s="84"/>
      <c r="L30" s="84"/>
      <c r="M30" s="84"/>
      <c r="N30" s="84"/>
      <c r="O30" s="84"/>
    </row>
    <row r="31" spans="6:13" ht="15.75" customHeight="1">
      <c r="F31" s="84" t="s">
        <v>293</v>
      </c>
      <c r="G31" s="84"/>
      <c r="H31" s="84"/>
      <c r="I31" s="84"/>
      <c r="J31" s="84"/>
      <c r="K31" s="84"/>
      <c r="L31" s="84"/>
      <c r="M31" s="84"/>
    </row>
    <row r="32" ht="15.75" customHeight="1">
      <c r="B32" s="82" t="s">
        <v>285</v>
      </c>
    </row>
    <row r="35" spans="2:8" ht="15.75" customHeight="1">
      <c r="B35" s="235" t="s">
        <v>537</v>
      </c>
      <c r="C35" s="235"/>
      <c r="D35" s="235"/>
      <c r="E35" s="235"/>
      <c r="F35" s="235"/>
      <c r="G35" s="235"/>
      <c r="H35" s="235"/>
    </row>
  </sheetData>
  <sheetProtection/>
  <mergeCells count="1">
    <mergeCell ref="B35:H35"/>
  </mergeCells>
  <hyperlinks>
    <hyperlink ref="D4:E4" location="'Ellipsoid Geometry'!A2" display="Ellipsoid Geometry"/>
    <hyperlink ref="D6:E6" location="'Radii &amp; Arc lengths'!A1" display="Radii &amp; Arc lengths"/>
    <hyperlink ref="D8:F8" location="'Distance between two points'!A1" display="Distance between two points"/>
    <hyperlink ref="D10:E10" location="'(φ; λ; h) ↔ (X; Y; Z)'!A1" display="(φ; λ; h) ↔ (X; Y; Z)"/>
    <hyperlink ref="D12:F12" location="'1° problem of geodesy'!A1" display="1° problem of geodesy (direct)"/>
    <hyperlink ref="D14:F14" location="'2° problem of geodesy'!A1" display="2° problem of geodesy (inverse)"/>
    <hyperlink ref="D16:E16" location="'(φ; λ) ↔ (N; E)'!A1" display="(φ; λ) ↔ (N; E)"/>
    <hyperlink ref="D26:E26" location="'Angular conversions'!A1" display="angular conversions"/>
    <hyperlink ref="D18:F18" location="'standard Molodensky formulae'!A1" display="standard Molodensky formulae"/>
    <hyperlink ref="D20:H20" location="'convergence &amp; cord'!A1" display="meridian convergence &amp; linear module &amp; cord reduction"/>
    <hyperlink ref="D20:I20" location="'convergence &amp; chord'!A1" display="grid convergence &amp; linear module &amp; arc-to-chord correction"/>
    <hyperlink ref="D4" location="'Ellipsoid Geometry'!A1" display="Ellipsoid Geometry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13"/>
  <sheetViews>
    <sheetView zoomScalePageLayoutView="0" workbookViewId="0" topLeftCell="A1">
      <selection activeCell="P19" sqref="P19"/>
    </sheetView>
  </sheetViews>
  <sheetFormatPr defaultColWidth="9.140625" defaultRowHeight="15.75" customHeight="1"/>
  <cols>
    <col min="1" max="1" width="9.140625" style="40" customWidth="1"/>
    <col min="2" max="2" width="7.7109375" style="40" customWidth="1"/>
    <col min="3" max="3" width="15.7109375" style="40" customWidth="1"/>
    <col min="4" max="4" width="9.140625" style="40" customWidth="1"/>
    <col min="5" max="5" width="5.7109375" style="40" customWidth="1"/>
    <col min="6" max="6" width="15.7109375" style="40" customWidth="1"/>
    <col min="7" max="7" width="9.140625" style="40" customWidth="1"/>
    <col min="8" max="8" width="15.7109375" style="40" customWidth="1"/>
    <col min="9" max="12" width="9.140625" style="40" customWidth="1"/>
    <col min="13" max="13" width="5.7109375" style="40" customWidth="1"/>
    <col min="14" max="14" width="15.7109375" style="40" customWidth="1"/>
    <col min="15" max="20" width="9.140625" style="40" customWidth="1"/>
    <col min="21" max="21" width="5.7109375" style="40" customWidth="1"/>
    <col min="22" max="22" width="15.7109375" style="40" customWidth="1"/>
    <col min="23" max="16384" width="9.140625" style="40" customWidth="1"/>
  </cols>
  <sheetData>
    <row r="2" spans="1:12" ht="15.75" customHeight="1">
      <c r="A2" s="127" t="s">
        <v>294</v>
      </c>
      <c r="B2" s="265" t="s">
        <v>453</v>
      </c>
      <c r="C2" s="265"/>
      <c r="D2" s="265"/>
      <c r="E2" s="265"/>
      <c r="G2" s="268" t="s">
        <v>497</v>
      </c>
      <c r="H2" s="268"/>
      <c r="I2" s="268"/>
      <c r="J2" s="268"/>
      <c r="K2" s="268"/>
      <c r="L2" s="268"/>
    </row>
    <row r="4" spans="2:24" ht="15.75" customHeight="1">
      <c r="B4" s="75" t="s">
        <v>236</v>
      </c>
      <c r="C4" s="122">
        <v>43</v>
      </c>
      <c r="D4" s="114" t="s">
        <v>16</v>
      </c>
      <c r="E4" s="114" t="s">
        <v>261</v>
      </c>
      <c r="G4" s="75" t="s">
        <v>241</v>
      </c>
      <c r="H4" s="122">
        <v>44</v>
      </c>
      <c r="I4" s="114" t="s">
        <v>16</v>
      </c>
      <c r="J4" s="114" t="s">
        <v>263</v>
      </c>
      <c r="M4" s="75" t="s">
        <v>500</v>
      </c>
      <c r="N4" s="189">
        <f>(C4+H4)/2</f>
        <v>43.5</v>
      </c>
      <c r="O4" s="114" t="s">
        <v>16</v>
      </c>
      <c r="P4" s="114" t="s">
        <v>190</v>
      </c>
      <c r="U4" s="75" t="s">
        <v>515</v>
      </c>
      <c r="V4" s="69">
        <v>43.334443</v>
      </c>
      <c r="W4" s="114" t="s">
        <v>16</v>
      </c>
      <c r="X4" s="114" t="s">
        <v>517</v>
      </c>
    </row>
    <row r="5" spans="2:24" ht="15.75" customHeight="1">
      <c r="B5" s="75" t="s">
        <v>498</v>
      </c>
      <c r="C5" s="122">
        <v>12</v>
      </c>
      <c r="D5" s="114" t="s">
        <v>16</v>
      </c>
      <c r="E5" s="114" t="s">
        <v>262</v>
      </c>
      <c r="G5" s="75" t="s">
        <v>499</v>
      </c>
      <c r="H5" s="122">
        <v>13</v>
      </c>
      <c r="I5" s="114" t="s">
        <v>16</v>
      </c>
      <c r="J5" s="114" t="s">
        <v>264</v>
      </c>
      <c r="M5" s="75" t="s">
        <v>501</v>
      </c>
      <c r="N5" s="189">
        <f>(C5+H5)/2</f>
        <v>12.5</v>
      </c>
      <c r="O5" s="114" t="s">
        <v>16</v>
      </c>
      <c r="P5" s="114" t="s">
        <v>479</v>
      </c>
      <c r="U5" s="75" t="s">
        <v>516</v>
      </c>
      <c r="V5" s="69">
        <v>12.329616</v>
      </c>
      <c r="W5" s="114" t="s">
        <v>16</v>
      </c>
      <c r="X5" s="114" t="s">
        <v>518</v>
      </c>
    </row>
    <row r="6" spans="2:16" ht="15.75" customHeight="1">
      <c r="B6" s="149"/>
      <c r="C6" s="149"/>
      <c r="M6" s="142"/>
      <c r="N6" s="72"/>
      <c r="O6" s="190"/>
      <c r="P6" s="72"/>
    </row>
    <row r="7" spans="2:16" ht="15.75" customHeight="1">
      <c r="B7" s="75" t="s">
        <v>300</v>
      </c>
      <c r="C7" s="122">
        <v>9</v>
      </c>
      <c r="D7" s="114" t="s">
        <v>16</v>
      </c>
      <c r="E7" s="114" t="s">
        <v>299</v>
      </c>
      <c r="L7" s="142"/>
      <c r="M7" s="142"/>
      <c r="N7" s="72"/>
      <c r="O7" s="72"/>
      <c r="P7" s="72"/>
    </row>
    <row r="8" spans="2:13" ht="15.75" customHeight="1">
      <c r="B8" s="49" t="s">
        <v>452</v>
      </c>
      <c r="C8" s="214">
        <v>500000</v>
      </c>
      <c r="D8" s="114" t="s">
        <v>2</v>
      </c>
      <c r="E8" s="114" t="s">
        <v>468</v>
      </c>
      <c r="L8" s="142"/>
      <c r="M8" s="142"/>
    </row>
    <row r="9" spans="2:13" ht="15.75" customHeight="1">
      <c r="B9" s="49" t="s">
        <v>466</v>
      </c>
      <c r="C9" s="215">
        <v>0.9996</v>
      </c>
      <c r="D9" s="114"/>
      <c r="E9" s="114" t="s">
        <v>467</v>
      </c>
      <c r="L9" s="142"/>
      <c r="M9" s="142"/>
    </row>
    <row r="10" spans="1:13" ht="15.75" customHeight="1">
      <c r="A10" s="55"/>
      <c r="B10" s="73"/>
      <c r="C10" s="191"/>
      <c r="D10" s="160"/>
      <c r="E10" s="160"/>
      <c r="M10" s="142"/>
    </row>
    <row r="11" spans="1:24" ht="15.75" customHeight="1">
      <c r="A11" s="55"/>
      <c r="B11" s="73" t="s">
        <v>502</v>
      </c>
      <c r="C11" s="123">
        <v>744544.256</v>
      </c>
      <c r="D11" s="160" t="s">
        <v>2</v>
      </c>
      <c r="E11" s="160" t="s">
        <v>477</v>
      </c>
      <c r="G11" s="73" t="s">
        <v>504</v>
      </c>
      <c r="H11" s="123">
        <v>820720.631</v>
      </c>
      <c r="I11" s="160" t="s">
        <v>2</v>
      </c>
      <c r="J11" s="160" t="s">
        <v>476</v>
      </c>
      <c r="M11" s="73" t="s">
        <v>506</v>
      </c>
      <c r="N11" s="123">
        <v>782977.627</v>
      </c>
      <c r="O11" s="160" t="s">
        <v>2</v>
      </c>
      <c r="P11" s="160" t="s">
        <v>483</v>
      </c>
      <c r="U11" s="73" t="s">
        <v>511</v>
      </c>
      <c r="V11" s="192">
        <f>(2*C11+H11)/3</f>
        <v>769936.381</v>
      </c>
      <c r="W11" s="160" t="s">
        <v>2</v>
      </c>
      <c r="X11" s="160" t="s">
        <v>513</v>
      </c>
    </row>
    <row r="12" spans="1:24" ht="15.75" customHeight="1">
      <c r="A12" s="55"/>
      <c r="B12" s="73" t="s">
        <v>503</v>
      </c>
      <c r="C12" s="123">
        <v>4765268.883</v>
      </c>
      <c r="D12" s="160" t="s">
        <v>2</v>
      </c>
      <c r="E12" s="160" t="s">
        <v>478</v>
      </c>
      <c r="G12" s="73" t="s">
        <v>505</v>
      </c>
      <c r="H12" s="123">
        <v>4879745.408</v>
      </c>
      <c r="I12" s="160" t="s">
        <v>2</v>
      </c>
      <c r="J12" s="160" t="s">
        <v>478</v>
      </c>
      <c r="M12" s="73" t="s">
        <v>495</v>
      </c>
      <c r="N12" s="123">
        <v>4822382.163</v>
      </c>
      <c r="O12" s="160" t="s">
        <v>2</v>
      </c>
      <c r="P12" s="160" t="s">
        <v>484</v>
      </c>
      <c r="U12" s="73" t="s">
        <v>512</v>
      </c>
      <c r="V12" s="192">
        <f>(2*C12+H12)/3</f>
        <v>4803427.724666667</v>
      </c>
      <c r="W12" s="160" t="s">
        <v>2</v>
      </c>
      <c r="X12" s="160" t="s">
        <v>514</v>
      </c>
    </row>
    <row r="13" spans="1:13" ht="15.75" customHeight="1">
      <c r="A13" s="55"/>
      <c r="B13" s="73"/>
      <c r="C13" s="193"/>
      <c r="D13" s="160"/>
      <c r="E13" s="160"/>
      <c r="F13" s="39"/>
      <c r="K13" s="114"/>
      <c r="M13" s="142"/>
    </row>
    <row r="14" spans="1:24" ht="15.75" customHeight="1">
      <c r="A14" s="55"/>
      <c r="B14" s="75" t="s">
        <v>193</v>
      </c>
      <c r="C14" s="123">
        <v>6378388</v>
      </c>
      <c r="D14" s="40" t="s">
        <v>2</v>
      </c>
      <c r="E14" s="40" t="s">
        <v>198</v>
      </c>
      <c r="M14" s="49" t="s">
        <v>495</v>
      </c>
      <c r="N14" s="192">
        <f>C14/(1-C17*(SIN(N4*PI()/180))^2)^0.5</f>
        <v>6388571.245520009</v>
      </c>
      <c r="O14" s="39" t="s">
        <v>2</v>
      </c>
      <c r="P14" s="114" t="s">
        <v>493</v>
      </c>
      <c r="U14" s="49" t="s">
        <v>512</v>
      </c>
      <c r="V14" s="192">
        <f>C14/(1-C17*(SIN(V4*PI()/180))^2)^0.5</f>
        <v>6388509.09339907</v>
      </c>
      <c r="W14" s="39" t="s">
        <v>2</v>
      </c>
      <c r="X14" s="114" t="s">
        <v>519</v>
      </c>
    </row>
    <row r="15" spans="1:24" ht="15.75" customHeight="1">
      <c r="A15" s="55"/>
      <c r="B15" s="75" t="s">
        <v>194</v>
      </c>
      <c r="C15" s="2">
        <v>0.003367003367</v>
      </c>
      <c r="E15" s="40" t="s">
        <v>199</v>
      </c>
      <c r="M15" s="49" t="s">
        <v>496</v>
      </c>
      <c r="N15" s="192">
        <f>C14*(1-C17)/(1-C17*(SIN(N4*PI()/180))^2)^1.5</f>
        <v>6365901.0342261195</v>
      </c>
      <c r="O15" s="39" t="s">
        <v>2</v>
      </c>
      <c r="P15" s="114" t="s">
        <v>494</v>
      </c>
      <c r="T15" s="39"/>
      <c r="U15" s="49" t="s">
        <v>521</v>
      </c>
      <c r="V15" s="192">
        <f>C14*(1-C17)/(1-C17*(SIN(V4*PI()/180))^2)^1.5</f>
        <v>6365715.24132192</v>
      </c>
      <c r="W15" s="39" t="s">
        <v>2</v>
      </c>
      <c r="X15" s="114" t="s">
        <v>520</v>
      </c>
    </row>
    <row r="16" spans="1:5" s="39" customFormat="1" ht="15.75" customHeight="1">
      <c r="A16" s="72"/>
      <c r="B16" s="73"/>
      <c r="C16" s="193"/>
      <c r="D16" s="160"/>
      <c r="E16" s="160"/>
    </row>
    <row r="17" spans="1:13" s="39" customFormat="1" ht="15.75" customHeight="1">
      <c r="A17" s="72"/>
      <c r="B17" s="73" t="s">
        <v>297</v>
      </c>
      <c r="C17" s="194">
        <f>C15*(2-C15)</f>
        <v>0.006722670022326611</v>
      </c>
      <c r="D17" s="160"/>
      <c r="E17" s="160" t="s">
        <v>459</v>
      </c>
      <c r="M17" s="195"/>
    </row>
    <row r="18" spans="1:13" s="39" customFormat="1" ht="15.75" customHeight="1">
      <c r="A18" s="72"/>
      <c r="B18" s="73" t="s">
        <v>464</v>
      </c>
      <c r="C18" s="194">
        <f>(C15*(2-C15))/(1-C15)^2</f>
        <v>0.006768170197217449</v>
      </c>
      <c r="D18" s="160"/>
      <c r="E18" s="160" t="s">
        <v>465</v>
      </c>
      <c r="M18" s="195"/>
    </row>
    <row r="19" spans="1:13" s="39" customFormat="1" ht="15.75" customHeight="1">
      <c r="A19" s="72"/>
      <c r="B19" s="73" t="s">
        <v>281</v>
      </c>
      <c r="C19" s="196">
        <f>C14/(1-C15)</f>
        <v>6399936.6081080865</v>
      </c>
      <c r="D19" s="160" t="s">
        <v>2</v>
      </c>
      <c r="E19" s="160" t="s">
        <v>461</v>
      </c>
      <c r="M19" s="195"/>
    </row>
    <row r="20" spans="1:13" ht="15.75" customHeight="1">
      <c r="A20" s="55"/>
      <c r="B20" s="197"/>
      <c r="C20" s="197"/>
      <c r="D20" s="55"/>
      <c r="E20" s="55"/>
      <c r="M20" s="142"/>
    </row>
    <row r="21" spans="1:16" ht="15.75" customHeight="1">
      <c r="A21" s="55"/>
      <c r="B21" s="73" t="s">
        <v>507</v>
      </c>
      <c r="C21" s="189">
        <f>C5-C7</f>
        <v>3</v>
      </c>
      <c r="D21" s="157" t="s">
        <v>16</v>
      </c>
      <c r="E21" s="198" t="s">
        <v>486</v>
      </c>
      <c r="G21" s="73" t="s">
        <v>508</v>
      </c>
      <c r="H21" s="189">
        <f>H5-C7</f>
        <v>4</v>
      </c>
      <c r="I21" s="157" t="s">
        <v>16</v>
      </c>
      <c r="J21" s="160" t="s">
        <v>487</v>
      </c>
      <c r="M21" s="73" t="s">
        <v>509</v>
      </c>
      <c r="N21" s="189">
        <f>N5-C7</f>
        <v>3.5</v>
      </c>
      <c r="O21" s="157" t="s">
        <v>16</v>
      </c>
      <c r="P21" s="114" t="s">
        <v>488</v>
      </c>
    </row>
    <row r="22" spans="1:16" ht="15.75" customHeight="1">
      <c r="A22" s="55"/>
      <c r="B22" s="73" t="s">
        <v>507</v>
      </c>
      <c r="C22" s="189">
        <f>C21*PI()/180</f>
        <v>0.05235987755982988</v>
      </c>
      <c r="D22" s="199" t="s">
        <v>224</v>
      </c>
      <c r="E22" s="198" t="s">
        <v>486</v>
      </c>
      <c r="G22" s="73" t="s">
        <v>508</v>
      </c>
      <c r="H22" s="189">
        <f>H21*PI()/180</f>
        <v>0.06981317007977318</v>
      </c>
      <c r="I22" s="199" t="s">
        <v>224</v>
      </c>
      <c r="J22" s="114" t="s">
        <v>487</v>
      </c>
      <c r="M22" s="73" t="s">
        <v>509</v>
      </c>
      <c r="N22" s="189">
        <f>N21*PI()/180</f>
        <v>0.061086523819801536</v>
      </c>
      <c r="O22" s="199" t="s">
        <v>224</v>
      </c>
      <c r="P22" s="114" t="s">
        <v>488</v>
      </c>
    </row>
    <row r="23" spans="1:17" s="39" customFormat="1" ht="15.75" customHeight="1">
      <c r="A23" s="72"/>
      <c r="B23" s="267" t="s">
        <v>485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</row>
    <row r="24" spans="1:13" ht="15.75" customHeight="1">
      <c r="A24" s="72"/>
      <c r="B24" s="73"/>
      <c r="C24" s="200"/>
      <c r="D24" s="201"/>
      <c r="E24" s="160"/>
      <c r="M24" s="142"/>
    </row>
    <row r="25" spans="1:12" ht="15.75" customHeight="1">
      <c r="A25" s="72"/>
      <c r="B25" s="73" t="s">
        <v>307</v>
      </c>
      <c r="C25" s="196">
        <f>IF(C11&gt;500000,C11-500000,500000-C11)</f>
        <v>244544.25600000005</v>
      </c>
      <c r="D25" s="160" t="s">
        <v>2</v>
      </c>
      <c r="E25" s="160" t="s">
        <v>469</v>
      </c>
      <c r="L25" s="142"/>
    </row>
    <row r="26" spans="1:12" ht="15.75" customHeight="1">
      <c r="A26" s="55"/>
      <c r="B26" s="197"/>
      <c r="C26" s="197"/>
      <c r="D26" s="55"/>
      <c r="E26" s="160" t="s">
        <v>470</v>
      </c>
      <c r="L26" s="142"/>
    </row>
    <row r="27" spans="2:13" ht="15.75" customHeight="1">
      <c r="B27" s="149"/>
      <c r="C27" s="149"/>
      <c r="L27" s="114"/>
      <c r="M27" s="142"/>
    </row>
    <row r="28" spans="1:13" ht="15.75" customHeight="1">
      <c r="A28" s="127" t="s">
        <v>294</v>
      </c>
      <c r="B28" s="265" t="s">
        <v>449</v>
      </c>
      <c r="C28" s="265"/>
      <c r="D28" s="265"/>
      <c r="E28" s="265"/>
      <c r="L28" s="142"/>
      <c r="M28" s="142"/>
    </row>
    <row r="29" spans="2:13" ht="15.75" customHeight="1">
      <c r="B29" s="149"/>
      <c r="C29" s="149"/>
      <c r="D29" s="39"/>
      <c r="L29" s="142"/>
      <c r="M29" s="142"/>
    </row>
    <row r="30" spans="2:13" ht="15.75" customHeight="1">
      <c r="B30" s="71" t="s">
        <v>454</v>
      </c>
      <c r="C30" s="149" t="s">
        <v>455</v>
      </c>
      <c r="D30" s="39"/>
      <c r="E30" s="75" t="s">
        <v>458</v>
      </c>
      <c r="F30" s="202">
        <f>C22*SIN(C4*PI()/180)*(1+1/3*C22^2*(COS(C4*PI()/180))^2*(1+3*C17/1-C17*COS(C4*PI()/180)))</f>
        <v>0.03572707155644153</v>
      </c>
      <c r="G30" s="187" t="s">
        <v>224</v>
      </c>
      <c r="H30" s="203">
        <f>F30*180/PI()</f>
        <v>2.047010414545989</v>
      </c>
      <c r="I30" s="204" t="s">
        <v>328</v>
      </c>
      <c r="M30" s="142"/>
    </row>
    <row r="31" spans="2:13" ht="15.75" customHeight="1">
      <c r="B31" s="149"/>
      <c r="C31" s="149"/>
      <c r="D31" s="39"/>
      <c r="E31" s="114"/>
      <c r="L31" s="142"/>
      <c r="M31" s="142"/>
    </row>
    <row r="32" spans="2:13" ht="15.75" customHeight="1">
      <c r="B32" s="71" t="s">
        <v>456</v>
      </c>
      <c r="C32" s="149" t="s">
        <v>457</v>
      </c>
      <c r="D32" s="39"/>
      <c r="F32" s="205"/>
      <c r="L32" s="142"/>
      <c r="M32" s="142"/>
    </row>
    <row r="33" spans="2:13" ht="15.75" customHeight="1">
      <c r="B33" s="149"/>
      <c r="C33" s="149"/>
      <c r="D33" s="39"/>
      <c r="L33" s="142" t="s">
        <v>460</v>
      </c>
      <c r="M33" s="142"/>
    </row>
    <row r="34" spans="2:13" ht="15.75" customHeight="1">
      <c r="B34" s="75" t="s">
        <v>462</v>
      </c>
      <c r="C34" s="137">
        <f>SQRT(1+C18*(COS(C4*PI()/180))^2)</f>
        <v>1.001808438246523</v>
      </c>
      <c r="D34" s="39"/>
      <c r="L34" s="142" t="s">
        <v>460</v>
      </c>
      <c r="M34" s="142"/>
    </row>
    <row r="35" spans="2:13" ht="15.75" customHeight="1">
      <c r="B35" s="206" t="s">
        <v>268</v>
      </c>
      <c r="C35" s="137">
        <f>ATAN(TAN(C4*PI()/180)/(COS(C34*C22)))</f>
        <v>0.751178120791941</v>
      </c>
      <c r="D35" s="39"/>
      <c r="M35" s="142"/>
    </row>
    <row r="36" spans="2:12" ht="15.75" customHeight="1">
      <c r="B36" s="75" t="s">
        <v>463</v>
      </c>
      <c r="C36" s="138">
        <f>SQRT(1+C18*(COS(C35))^2)</f>
        <v>1.0018061246587544</v>
      </c>
      <c r="L36" s="142"/>
    </row>
    <row r="37" spans="2:12" ht="15.75" customHeight="1">
      <c r="B37" s="49" t="s">
        <v>471</v>
      </c>
      <c r="C37" s="138">
        <f>C25/C19</f>
        <v>0.038210418473549675</v>
      </c>
      <c r="D37" s="39"/>
      <c r="E37" s="75" t="s">
        <v>458</v>
      </c>
      <c r="F37" s="202">
        <f>ATAN(C36*TAN(C35)*TANH(C37))</f>
        <v>0.03571273539628788</v>
      </c>
      <c r="G37" s="187" t="s">
        <v>224</v>
      </c>
      <c r="H37" s="203">
        <f>F37*180/PI()</f>
        <v>2.046189013074761</v>
      </c>
      <c r="I37" s="204" t="s">
        <v>328</v>
      </c>
      <c r="L37" s="142"/>
    </row>
    <row r="38" spans="2:12" ht="15.75" customHeight="1">
      <c r="B38" s="49" t="s">
        <v>472</v>
      </c>
      <c r="C38" s="138">
        <f>C25/(C19*0.9996)</f>
        <v>0.03822570875705249</v>
      </c>
      <c r="D38" s="39"/>
      <c r="E38" s="75" t="s">
        <v>510</v>
      </c>
      <c r="F38" s="203">
        <f>ATAN(C36*TAN(C35)*TANH(C38))</f>
        <v>0.03572700015449471</v>
      </c>
      <c r="G38" s="187" t="s">
        <v>224</v>
      </c>
      <c r="H38" s="203">
        <f>F38*180/PI()</f>
        <v>2.0470063235157867</v>
      </c>
      <c r="I38" s="204" t="s">
        <v>328</v>
      </c>
      <c r="L38" s="142"/>
    </row>
    <row r="39" spans="1:12" ht="15.75" customHeight="1">
      <c r="A39" s="39"/>
      <c r="B39" s="49"/>
      <c r="C39" s="154"/>
      <c r="D39" s="39"/>
      <c r="E39" s="49"/>
      <c r="F39" s="207"/>
      <c r="G39" s="208"/>
      <c r="H39" s="207"/>
      <c r="I39" s="209"/>
      <c r="J39" s="39"/>
      <c r="K39" s="39"/>
      <c r="L39" s="195"/>
    </row>
    <row r="40" spans="1:12" ht="15.75" customHeight="1">
      <c r="A40" s="39"/>
      <c r="B40" s="49"/>
      <c r="C40" s="154"/>
      <c r="D40" s="39"/>
      <c r="E40" s="49"/>
      <c r="F40" s="207"/>
      <c r="G40" s="208"/>
      <c r="H40" s="207"/>
      <c r="I40" s="209"/>
      <c r="J40" s="39"/>
      <c r="K40" s="39"/>
      <c r="L40" s="195"/>
    </row>
    <row r="41" spans="1:12" ht="15.75" customHeight="1">
      <c r="A41" s="39"/>
      <c r="B41" s="49"/>
      <c r="C41" s="154"/>
      <c r="D41" s="39"/>
      <c r="E41" s="49"/>
      <c r="F41" s="207"/>
      <c r="G41" s="208"/>
      <c r="H41" s="207"/>
      <c r="I41" s="209"/>
      <c r="J41" s="39"/>
      <c r="K41" s="39"/>
      <c r="L41" s="195"/>
    </row>
    <row r="42" spans="1:12" ht="15.75" customHeight="1">
      <c r="A42" s="39"/>
      <c r="B42" s="49"/>
      <c r="C42" s="154"/>
      <c r="D42" s="39"/>
      <c r="E42" s="49"/>
      <c r="F42" s="207"/>
      <c r="G42" s="208"/>
      <c r="H42" s="207"/>
      <c r="I42" s="209"/>
      <c r="J42" s="39"/>
      <c r="K42" s="39"/>
      <c r="L42" s="195"/>
    </row>
    <row r="43" spans="1:12" ht="15.75" customHeight="1">
      <c r="A43" s="39"/>
      <c r="B43" s="49"/>
      <c r="C43" s="154"/>
      <c r="D43" s="39"/>
      <c r="E43" s="49"/>
      <c r="F43" s="207"/>
      <c r="G43" s="208"/>
      <c r="H43" s="207"/>
      <c r="I43" s="209"/>
      <c r="J43" s="39"/>
      <c r="K43" s="39"/>
      <c r="L43" s="195"/>
    </row>
    <row r="44" spans="1:12" ht="15.75" customHeight="1">
      <c r="A44" s="39"/>
      <c r="B44" s="49"/>
      <c r="C44" s="154"/>
      <c r="D44" s="39"/>
      <c r="E44" s="49"/>
      <c r="F44" s="207"/>
      <c r="G44" s="208"/>
      <c r="H44" s="207"/>
      <c r="I44" s="209"/>
      <c r="J44" s="39"/>
      <c r="K44" s="39"/>
      <c r="L44" s="195"/>
    </row>
    <row r="45" spans="1:12" ht="15.75" customHeight="1">
      <c r="A45" s="39"/>
      <c r="B45" s="49"/>
      <c r="C45" s="154"/>
      <c r="D45" s="39"/>
      <c r="E45" s="49"/>
      <c r="F45" s="207"/>
      <c r="G45" s="208"/>
      <c r="H45" s="207"/>
      <c r="I45" s="209"/>
      <c r="J45" s="39"/>
      <c r="K45" s="39"/>
      <c r="L45" s="195"/>
    </row>
    <row r="46" spans="1:12" ht="15.75" customHeight="1">
      <c r="A46" s="39"/>
      <c r="B46" s="49"/>
      <c r="C46" s="154"/>
      <c r="D46" s="39"/>
      <c r="E46" s="49"/>
      <c r="F46" s="207"/>
      <c r="G46" s="208"/>
      <c r="H46" s="207"/>
      <c r="I46" s="209"/>
      <c r="J46" s="39"/>
      <c r="K46" s="39"/>
      <c r="L46" s="195"/>
    </row>
    <row r="47" spans="1:12" ht="15.75" customHeight="1">
      <c r="A47" s="39"/>
      <c r="B47" s="49"/>
      <c r="C47" s="154"/>
      <c r="D47" s="39"/>
      <c r="E47" s="49"/>
      <c r="F47" s="207"/>
      <c r="G47" s="208"/>
      <c r="H47" s="207"/>
      <c r="I47" s="209"/>
      <c r="J47" s="39"/>
      <c r="K47" s="39"/>
      <c r="L47" s="195"/>
    </row>
    <row r="48" spans="1:12" ht="15.75" customHeight="1">
      <c r="A48" s="39"/>
      <c r="B48" s="49"/>
      <c r="C48" s="154"/>
      <c r="D48" s="39"/>
      <c r="E48" s="49"/>
      <c r="F48" s="207"/>
      <c r="G48" s="208"/>
      <c r="H48" s="207"/>
      <c r="I48" s="209"/>
      <c r="J48" s="39"/>
      <c r="K48" s="39"/>
      <c r="L48" s="195"/>
    </row>
    <row r="49" spans="1:12" ht="15.75" customHeight="1">
      <c r="A49" s="39"/>
      <c r="B49" s="49"/>
      <c r="C49" s="154"/>
      <c r="D49" s="39"/>
      <c r="E49" s="49"/>
      <c r="F49" s="207"/>
      <c r="G49" s="208"/>
      <c r="H49" s="207"/>
      <c r="I49" s="209"/>
      <c r="J49" s="39"/>
      <c r="K49" s="39"/>
      <c r="L49" s="195"/>
    </row>
    <row r="50" spans="1:12" ht="15.75" customHeight="1">
      <c r="A50" s="39"/>
      <c r="B50" s="49"/>
      <c r="C50" s="154"/>
      <c r="D50" s="39"/>
      <c r="E50" s="49"/>
      <c r="F50" s="207"/>
      <c r="G50" s="208"/>
      <c r="H50" s="207"/>
      <c r="I50" s="209"/>
      <c r="J50" s="39"/>
      <c r="K50" s="39"/>
      <c r="L50" s="195"/>
    </row>
    <row r="51" spans="1:12" ht="15.75" customHeight="1">
      <c r="A51" s="39"/>
      <c r="B51" s="49"/>
      <c r="C51" s="154"/>
      <c r="D51" s="39"/>
      <c r="E51" s="49"/>
      <c r="F51" s="207"/>
      <c r="G51" s="208"/>
      <c r="H51" s="207"/>
      <c r="I51" s="209"/>
      <c r="J51" s="39"/>
      <c r="K51" s="39"/>
      <c r="L51" s="195"/>
    </row>
    <row r="52" spans="1:12" ht="15.75" customHeight="1">
      <c r="A52" s="39"/>
      <c r="B52" s="49"/>
      <c r="C52" s="154"/>
      <c r="D52" s="39"/>
      <c r="E52" s="49"/>
      <c r="F52" s="207"/>
      <c r="G52" s="208"/>
      <c r="H52" s="207"/>
      <c r="I52" s="209"/>
      <c r="J52" s="39"/>
      <c r="K52" s="39"/>
      <c r="L52" s="195"/>
    </row>
    <row r="53" spans="1:12" ht="15.75" customHeight="1">
      <c r="A53" s="39"/>
      <c r="B53" s="49"/>
      <c r="C53" s="154"/>
      <c r="D53" s="39"/>
      <c r="E53" s="49"/>
      <c r="F53" s="207"/>
      <c r="G53" s="208"/>
      <c r="H53" s="207"/>
      <c r="I53" s="209"/>
      <c r="J53" s="39"/>
      <c r="K53" s="39"/>
      <c r="L53" s="195"/>
    </row>
    <row r="54" spans="1:12" ht="15.75" customHeight="1">
      <c r="A54" s="39"/>
      <c r="B54" s="49"/>
      <c r="C54" s="154"/>
      <c r="D54" s="39"/>
      <c r="E54" s="49"/>
      <c r="F54" s="207"/>
      <c r="G54" s="208"/>
      <c r="H54" s="207"/>
      <c r="I54" s="209"/>
      <c r="J54" s="39"/>
      <c r="K54" s="39"/>
      <c r="L54" s="195"/>
    </row>
    <row r="55" spans="1:12" ht="15.75" customHeight="1">
      <c r="A55" s="39"/>
      <c r="B55" s="49"/>
      <c r="C55" s="154"/>
      <c r="D55" s="39"/>
      <c r="E55" s="49"/>
      <c r="F55" s="207"/>
      <c r="G55" s="208"/>
      <c r="H55" s="207"/>
      <c r="I55" s="209"/>
      <c r="J55" s="39"/>
      <c r="K55" s="39"/>
      <c r="L55" s="195"/>
    </row>
    <row r="57" spans="1:6" ht="15.75" customHeight="1">
      <c r="A57" s="127" t="s">
        <v>294</v>
      </c>
      <c r="B57" s="265" t="s">
        <v>450</v>
      </c>
      <c r="C57" s="265"/>
      <c r="D57" s="265"/>
      <c r="E57" s="265"/>
      <c r="F57" s="265"/>
    </row>
    <row r="59" spans="2:8" ht="15.75" customHeight="1">
      <c r="B59" s="120" t="s">
        <v>454</v>
      </c>
      <c r="C59" s="128" t="s">
        <v>455</v>
      </c>
      <c r="E59" s="75" t="s">
        <v>474</v>
      </c>
      <c r="F59" s="210">
        <f>0.9996*(1+(C22^2/2)*(COS(C4*PI()/180))^2*(1+C18*(COS(C4*PI()/180))^2)+(C22^4/24)*(COS(C4*PI()/180))^4*(5-4*(TAN(C4*PI()/180))^2))</f>
        <v>1.0003356957581155</v>
      </c>
      <c r="G59" s="75" t="s">
        <v>475</v>
      </c>
      <c r="H59" s="210">
        <f>F59/0.9996</f>
        <v>1.0007359901541772</v>
      </c>
    </row>
    <row r="61" spans="2:14" ht="15.75" customHeight="1">
      <c r="B61" s="136" t="s">
        <v>456</v>
      </c>
      <c r="C61" s="128" t="s">
        <v>473</v>
      </c>
      <c r="E61" s="75" t="s">
        <v>474</v>
      </c>
      <c r="F61" s="210">
        <f>0.9996*(1+1/(2*C14^2)*C25^2+1/(24*C14^4)*C25^4+1/(720*C14^6)*C25^6+1/(40320*C14^8)*C25^8+1/(3628800*C14^10)*C25^10+1/(479001600*C14^12)*C25^12)</f>
        <v>1.0003347549385688</v>
      </c>
      <c r="G61" s="75" t="s">
        <v>475</v>
      </c>
      <c r="H61" s="210">
        <f>F61/0.9996</f>
        <v>1.0007350489581521</v>
      </c>
      <c r="M61" s="39"/>
      <c r="N61" s="39"/>
    </row>
    <row r="62" spans="13:14" ht="15.75" customHeight="1">
      <c r="M62" s="49"/>
      <c r="N62" s="211"/>
    </row>
    <row r="63" spans="13:14" ht="15.75" customHeight="1">
      <c r="M63" s="49"/>
      <c r="N63" s="211"/>
    </row>
    <row r="64" spans="13:14" ht="15.75" customHeight="1">
      <c r="M64" s="49"/>
      <c r="N64" s="211"/>
    </row>
    <row r="65" spans="13:14" ht="15.75" customHeight="1">
      <c r="M65" s="49"/>
      <c r="N65" s="211"/>
    </row>
    <row r="66" spans="13:14" ht="15.75" customHeight="1">
      <c r="M66" s="49"/>
      <c r="N66" s="211"/>
    </row>
    <row r="67" spans="13:14" ht="15.75" customHeight="1">
      <c r="M67" s="49"/>
      <c r="N67" s="211"/>
    </row>
    <row r="68" spans="13:14" ht="15.75" customHeight="1">
      <c r="M68" s="49"/>
      <c r="N68" s="211"/>
    </row>
    <row r="69" spans="13:14" ht="15.75" customHeight="1">
      <c r="M69" s="49"/>
      <c r="N69" s="211"/>
    </row>
    <row r="70" spans="13:14" ht="15.75" customHeight="1">
      <c r="M70" s="49"/>
      <c r="N70" s="211"/>
    </row>
    <row r="71" spans="13:14" ht="15.75" customHeight="1">
      <c r="M71" s="49"/>
      <c r="N71" s="211"/>
    </row>
    <row r="72" spans="13:14" ht="15.75" customHeight="1">
      <c r="M72" s="49"/>
      <c r="N72" s="211"/>
    </row>
    <row r="73" spans="13:14" ht="15.75" customHeight="1">
      <c r="M73" s="49"/>
      <c r="N73" s="211"/>
    </row>
    <row r="74" spans="13:14" ht="15.75" customHeight="1">
      <c r="M74" s="49"/>
      <c r="N74" s="211"/>
    </row>
    <row r="75" spans="13:14" ht="15.75" customHeight="1">
      <c r="M75" s="49"/>
      <c r="N75" s="211"/>
    </row>
    <row r="76" spans="13:14" ht="15.75" customHeight="1">
      <c r="M76" s="49"/>
      <c r="N76" s="211"/>
    </row>
    <row r="77" spans="13:14" ht="15.75" customHeight="1">
      <c r="M77" s="149"/>
      <c r="N77" s="149"/>
    </row>
    <row r="78" spans="1:14" ht="15.75" customHeight="1">
      <c r="A78" s="127" t="s">
        <v>294</v>
      </c>
      <c r="B78" s="265" t="s">
        <v>451</v>
      </c>
      <c r="C78" s="265"/>
      <c r="D78" s="265"/>
      <c r="E78" s="265"/>
      <c r="F78" s="265"/>
      <c r="M78" s="149"/>
      <c r="N78" s="149"/>
    </row>
    <row r="79" spans="13:14" ht="15.75" customHeight="1">
      <c r="M79" s="149"/>
      <c r="N79" s="149"/>
    </row>
    <row r="80" spans="2:15" ht="15.75" customHeight="1">
      <c r="B80" s="75" t="s">
        <v>474</v>
      </c>
      <c r="C80" s="210">
        <f>0.9996*(1+(C22^2/2)*(COS(C4*PI()/180))^2*(1+C18*(COS(C4*PI()/180))^2)+(C22^4/24)*(COS(C4*PI()/180))^4*(5-4*(TAN(C4*PI()/180))^2))</f>
        <v>1.0003356957581155</v>
      </c>
      <c r="E80" s="75" t="s">
        <v>475</v>
      </c>
      <c r="F80" s="210">
        <f>C80/0.9996</f>
        <v>1.0007359901541772</v>
      </c>
      <c r="H80" s="114" t="s">
        <v>480</v>
      </c>
      <c r="M80" s="149"/>
      <c r="N80" s="149"/>
      <c r="O80" s="39"/>
    </row>
    <row r="81" spans="13:15" ht="15.75" customHeight="1">
      <c r="M81" s="149"/>
      <c r="N81" s="149"/>
      <c r="O81" s="39"/>
    </row>
    <row r="82" spans="2:15" ht="15.75" customHeight="1">
      <c r="B82" s="75" t="s">
        <v>474</v>
      </c>
      <c r="C82" s="210">
        <f>0.9996*(1+(N22^2/2)*(COS(N4*PI()/180))^2*(1+C18*(COS(N4*PI()/180))^2)+(N22^4/24)*(COS(N4*PI()/180))^4*(5-4*(TAN(N4*PI()/180))^2))</f>
        <v>1.0005850410203432</v>
      </c>
      <c r="E82" s="75" t="s">
        <v>475</v>
      </c>
      <c r="F82" s="210">
        <f>C82/0.9996</f>
        <v>1.000985435194421</v>
      </c>
      <c r="H82" s="114" t="s">
        <v>481</v>
      </c>
      <c r="M82" s="49"/>
      <c r="N82" s="211"/>
      <c r="O82" s="39"/>
    </row>
    <row r="83" spans="13:15" ht="15.75" customHeight="1">
      <c r="M83" s="49"/>
      <c r="N83" s="71"/>
      <c r="O83" s="39"/>
    </row>
    <row r="84" spans="2:15" ht="15.75" customHeight="1">
      <c r="B84" s="75" t="s">
        <v>474</v>
      </c>
      <c r="C84" s="210">
        <f>0.9996*(1+(H22^2/2)*(COS(H4*PI()/180))^2*(1+C18*(COS(H4*PI()/180))^2)+(H22^4/24)*(COS(H4*PI()/180))^4*(5-4*(TAN(H4*PI()/180))^2))</f>
        <v>1.000865240110069</v>
      </c>
      <c r="E84" s="75" t="s">
        <v>475</v>
      </c>
      <c r="F84" s="210">
        <f>C84/0.9996</f>
        <v>1.0012657464086325</v>
      </c>
      <c r="H84" s="114" t="s">
        <v>482</v>
      </c>
      <c r="M84" s="39"/>
      <c r="N84" s="39"/>
      <c r="O84" s="39"/>
    </row>
    <row r="86" spans="2:3" ht="15.75" customHeight="1">
      <c r="B86" s="120" t="s">
        <v>454</v>
      </c>
      <c r="C86" s="128" t="s">
        <v>489</v>
      </c>
    </row>
    <row r="88" spans="2:6" ht="15.75" customHeight="1">
      <c r="B88" s="75" t="s">
        <v>491</v>
      </c>
      <c r="C88" s="210">
        <f>1/(1/6*(1/C80+4/C82+1/C84))</f>
        <v>1.0005901599184719</v>
      </c>
      <c r="E88" s="75" t="s">
        <v>490</v>
      </c>
      <c r="F88" s="210">
        <f>1/(1/6*(1/F80+4/F82+1/F84))</f>
        <v>1.000990556140928</v>
      </c>
    </row>
    <row r="90" spans="2:3" ht="15.75" customHeight="1">
      <c r="B90" s="120" t="s">
        <v>456</v>
      </c>
      <c r="C90" s="128" t="s">
        <v>492</v>
      </c>
    </row>
    <row r="92" spans="2:6" ht="15.75" customHeight="1">
      <c r="B92" s="75" t="s">
        <v>491</v>
      </c>
      <c r="C92" s="210">
        <f>0.9996+((C11-C8)^2+(C11-C8)*(H11-C8)+(H11-C8)^2)/(0.9996*6*N15*N14)</f>
        <v>1.0005884285640785</v>
      </c>
      <c r="E92" s="75" t="s">
        <v>490</v>
      </c>
      <c r="F92" s="210">
        <f>1+((C11-C8)^2+(C11-C8)*(H11-C8)+(H11-C8)^2)/(6*N15*N14)</f>
        <v>1.0009880331926528</v>
      </c>
    </row>
    <row r="93" spans="2:5" ht="15.75" customHeight="1">
      <c r="B93" s="49"/>
      <c r="C93" s="212"/>
      <c r="D93" s="39"/>
      <c r="E93" s="39"/>
    </row>
    <row r="94" spans="2:5" ht="15.75" customHeight="1">
      <c r="B94" s="49"/>
      <c r="C94" s="212"/>
      <c r="D94" s="39"/>
      <c r="E94" s="39"/>
    </row>
    <row r="95" spans="2:5" ht="15.75" customHeight="1">
      <c r="B95" s="49"/>
      <c r="C95" s="212"/>
      <c r="D95" s="39"/>
      <c r="E95" s="39"/>
    </row>
    <row r="96" spans="2:5" ht="15.75" customHeight="1">
      <c r="B96" s="49"/>
      <c r="C96" s="212"/>
      <c r="D96" s="39"/>
      <c r="E96" s="39"/>
    </row>
    <row r="97" spans="2:5" ht="15.75" customHeight="1">
      <c r="B97" s="49"/>
      <c r="C97" s="212"/>
      <c r="D97" s="39"/>
      <c r="E97" s="39"/>
    </row>
    <row r="98" spans="2:5" ht="15.75" customHeight="1">
      <c r="B98" s="49"/>
      <c r="C98" s="212"/>
      <c r="D98" s="39"/>
      <c r="E98" s="39"/>
    </row>
    <row r="99" spans="2:5" ht="15.75" customHeight="1">
      <c r="B99" s="49"/>
      <c r="C99" s="212"/>
      <c r="D99" s="39"/>
      <c r="E99" s="39"/>
    </row>
    <row r="100" spans="2:5" ht="15.75" customHeight="1">
      <c r="B100" s="49"/>
      <c r="C100" s="212"/>
      <c r="D100" s="39"/>
      <c r="E100" s="39"/>
    </row>
    <row r="101" spans="2:5" ht="15.75" customHeight="1">
      <c r="B101" s="49"/>
      <c r="C101" s="212"/>
      <c r="D101" s="39"/>
      <c r="E101" s="39"/>
    </row>
    <row r="102" spans="2:5" ht="15.75" customHeight="1">
      <c r="B102" s="49"/>
      <c r="C102" s="212"/>
      <c r="D102" s="39"/>
      <c r="E102" s="39"/>
    </row>
    <row r="103" spans="2:5" ht="15.75" customHeight="1">
      <c r="B103" s="39"/>
      <c r="C103" s="39"/>
      <c r="D103" s="39"/>
      <c r="E103" s="39"/>
    </row>
    <row r="109" spans="1:5" ht="15.75" customHeight="1">
      <c r="A109" s="127" t="s">
        <v>294</v>
      </c>
      <c r="B109" s="265" t="s">
        <v>448</v>
      </c>
      <c r="C109" s="265"/>
      <c r="D109" s="265"/>
      <c r="E109" s="265"/>
    </row>
    <row r="111" spans="2:7" ht="15.75" customHeight="1">
      <c r="B111" s="75" t="s">
        <v>522</v>
      </c>
      <c r="C111" s="202">
        <f>((2*(C11-C8)+(H11-C8))*(C12-H12))/(6*V15*V14*0.9996^2)</f>
        <v>-0.0003802319821517029</v>
      </c>
      <c r="D111" s="187" t="s">
        <v>224</v>
      </c>
      <c r="E111" s="75" t="s">
        <v>522</v>
      </c>
      <c r="F111" s="213">
        <f>C111*180/PI()*60</f>
        <v>-1.3071412687911732</v>
      </c>
      <c r="G111" s="204" t="s">
        <v>328</v>
      </c>
    </row>
    <row r="112" spans="2:7" ht="15.75" customHeight="1">
      <c r="B112" s="75" t="s">
        <v>523</v>
      </c>
      <c r="C112" s="203">
        <f>((2*(H11-C8)+(C11-C8))*(H12-C12))/(6*V15*V14*0.9996^2)</f>
        <v>0.000415999291411857</v>
      </c>
      <c r="D112" s="187" t="s">
        <v>224</v>
      </c>
      <c r="E112" s="75" t="s">
        <v>523</v>
      </c>
      <c r="F112" s="213">
        <f>C112*180/PI()*60</f>
        <v>1.4301002206999343</v>
      </c>
      <c r="G112" s="204" t="s">
        <v>328</v>
      </c>
    </row>
    <row r="113" ht="15.75" customHeight="1">
      <c r="F113" s="117"/>
    </row>
  </sheetData>
  <sheetProtection password="CE90" sheet="1"/>
  <mergeCells count="7">
    <mergeCell ref="B109:E109"/>
    <mergeCell ref="B57:F57"/>
    <mergeCell ref="B78:F78"/>
    <mergeCell ref="B2:E2"/>
    <mergeCell ref="B23:Q23"/>
    <mergeCell ref="G2:L2"/>
    <mergeCell ref="B28:E28"/>
  </mergeCells>
  <hyperlinks>
    <hyperlink ref="A28" location="INDEX!A1" display="◄"/>
    <hyperlink ref="A57" location="INDEX!A1" display="◄"/>
    <hyperlink ref="A109" location="INDEX!A1" display="◄"/>
    <hyperlink ref="A78" location="INDEX!A1" display="◄"/>
    <hyperlink ref="A2" location="INDEX!A1" display="◄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">
      <selection activeCell="L16" sqref="L16"/>
    </sheetView>
  </sheetViews>
  <sheetFormatPr defaultColWidth="9.140625" defaultRowHeight="15.75" customHeight="1"/>
  <cols>
    <col min="1" max="2" width="9.140625" style="40" customWidth="1"/>
    <col min="3" max="3" width="15.7109375" style="40" customWidth="1"/>
    <col min="4" max="4" width="5.7109375" style="40" customWidth="1"/>
    <col min="5" max="8" width="9.140625" style="40" customWidth="1"/>
    <col min="9" max="9" width="15.7109375" style="40" customWidth="1"/>
    <col min="10" max="10" width="30.28125" style="40" bestFit="1" customWidth="1"/>
    <col min="11" max="11" width="9.140625" style="40" customWidth="1"/>
    <col min="12" max="12" width="15.7109375" style="40" customWidth="1"/>
    <col min="13" max="13" width="5.7109375" style="40" customWidth="1"/>
    <col min="14" max="16384" width="9.140625" style="40" customWidth="1"/>
  </cols>
  <sheetData>
    <row r="2" spans="1:4" ht="15.75" customHeight="1">
      <c r="A2" s="127" t="s">
        <v>294</v>
      </c>
      <c r="B2" s="242" t="s">
        <v>338</v>
      </c>
      <c r="C2" s="242"/>
      <c r="D2" s="242"/>
    </row>
    <row r="4" spans="1:8" ht="15.75" customHeight="1">
      <c r="A4" s="75"/>
      <c r="B4" s="128" t="s">
        <v>330</v>
      </c>
      <c r="H4" s="128" t="s">
        <v>331</v>
      </c>
    </row>
    <row r="6" spans="1:10" ht="15.75" customHeight="1">
      <c r="A6" s="75" t="s">
        <v>339</v>
      </c>
      <c r="B6" s="75" t="s">
        <v>335</v>
      </c>
      <c r="C6" s="124">
        <v>32</v>
      </c>
      <c r="D6" s="216" t="s">
        <v>16</v>
      </c>
      <c r="G6" s="75" t="s">
        <v>339</v>
      </c>
      <c r="H6" s="75" t="s">
        <v>329</v>
      </c>
      <c r="I6" s="124">
        <v>33.1887</v>
      </c>
      <c r="J6" s="216" t="s">
        <v>16</v>
      </c>
    </row>
    <row r="7" spans="2:4" ht="15.75" customHeight="1">
      <c r="B7" s="75" t="s">
        <v>336</v>
      </c>
      <c r="C7" s="124">
        <v>25</v>
      </c>
      <c r="D7" s="217" t="s">
        <v>327</v>
      </c>
    </row>
    <row r="8" spans="2:10" ht="15.75" customHeight="1">
      <c r="B8" s="75" t="s">
        <v>277</v>
      </c>
      <c r="C8" s="124">
        <v>21.5109</v>
      </c>
      <c r="D8" s="217" t="s">
        <v>328</v>
      </c>
      <c r="G8" s="75" t="s">
        <v>340</v>
      </c>
      <c r="H8" s="75" t="s">
        <v>335</v>
      </c>
      <c r="I8" s="218">
        <f>TRUNC(I6)</f>
        <v>33</v>
      </c>
      <c r="J8" s="216" t="s">
        <v>16</v>
      </c>
    </row>
    <row r="9" spans="8:10" ht="15.75" customHeight="1">
      <c r="H9" s="75" t="s">
        <v>336</v>
      </c>
      <c r="I9" s="218">
        <f>ABS(TRUNC((I6-TRUNC(I6))*60))</f>
        <v>11</v>
      </c>
      <c r="J9" s="217" t="s">
        <v>327</v>
      </c>
    </row>
    <row r="10" spans="1:10" ht="15.75" customHeight="1">
      <c r="A10" s="75" t="s">
        <v>340</v>
      </c>
      <c r="B10" s="75" t="s">
        <v>329</v>
      </c>
      <c r="C10" s="133">
        <f>IF(C6&lt;0,(-C6+C7/60+C8/3600)*-1,C6+C7/60+C8/3600)</f>
        <v>32.42264191666666</v>
      </c>
      <c r="D10" s="216" t="s">
        <v>16</v>
      </c>
      <c r="H10" s="75" t="s">
        <v>277</v>
      </c>
      <c r="I10" s="219">
        <f>ABS((((I6-TRUNC(I6))*60)-TRUNC((I6-TRUNC(I6))*60))*60)</f>
        <v>19.319999999989932</v>
      </c>
      <c r="J10" s="217" t="s">
        <v>328</v>
      </c>
    </row>
    <row r="14" spans="2:8" ht="15.75" customHeight="1">
      <c r="B14" s="128" t="s">
        <v>332</v>
      </c>
      <c r="H14" s="128" t="s">
        <v>333</v>
      </c>
    </row>
    <row r="16" spans="1:10" ht="15.75" customHeight="1">
      <c r="A16" s="75" t="s">
        <v>339</v>
      </c>
      <c r="B16" s="75" t="s">
        <v>329</v>
      </c>
      <c r="C16" s="124">
        <v>0</v>
      </c>
      <c r="D16" s="216" t="s">
        <v>16</v>
      </c>
      <c r="G16" s="75" t="s">
        <v>339</v>
      </c>
      <c r="H16" s="75" t="s">
        <v>334</v>
      </c>
      <c r="I16" s="124">
        <v>0.017453293</v>
      </c>
      <c r="J16" s="220" t="s">
        <v>224</v>
      </c>
    </row>
    <row r="18" spans="1:13" ht="15.75" customHeight="1">
      <c r="A18" s="75" t="s">
        <v>340</v>
      </c>
      <c r="B18" s="75" t="s">
        <v>334</v>
      </c>
      <c r="C18" s="203">
        <f>PI()/180*C16</f>
        <v>0</v>
      </c>
      <c r="D18" s="220" t="s">
        <v>224</v>
      </c>
      <c r="G18" s="75" t="s">
        <v>340</v>
      </c>
      <c r="H18" s="75" t="s">
        <v>329</v>
      </c>
      <c r="I18" s="133">
        <f>180/PI()*I16</f>
        <v>1.0000000275052232</v>
      </c>
      <c r="J18" s="216" t="s">
        <v>16</v>
      </c>
      <c r="K18" s="75" t="s">
        <v>335</v>
      </c>
      <c r="L18" s="218">
        <f>TRUNC(I18)</f>
        <v>1</v>
      </c>
      <c r="M18" s="216" t="s">
        <v>16</v>
      </c>
    </row>
    <row r="19" spans="11:13" ht="15.75" customHeight="1">
      <c r="K19" s="75" t="s">
        <v>336</v>
      </c>
      <c r="L19" s="218">
        <f>ABS(TRUNC((I18-TRUNC(I18))*60))</f>
        <v>0</v>
      </c>
      <c r="M19" s="217" t="s">
        <v>327</v>
      </c>
    </row>
    <row r="20" spans="11:13" ht="15.75" customHeight="1">
      <c r="K20" s="75" t="s">
        <v>277</v>
      </c>
      <c r="L20" s="219">
        <f>ABS((((I18-TRUNC(I18))*60)-TRUNC((I18-TRUNC(I18))*60))*60)</f>
        <v>9.90188035565609E-05</v>
      </c>
      <c r="M20" s="217" t="s">
        <v>328</v>
      </c>
    </row>
    <row r="23" spans="11:13" ht="15.75" customHeight="1">
      <c r="K23" s="221"/>
      <c r="L23" s="221"/>
      <c r="M23" s="221"/>
    </row>
    <row r="25" ht="15.75" customHeight="1">
      <c r="F25" s="222"/>
    </row>
    <row r="26" spans="6:13" ht="15.75" customHeight="1">
      <c r="F26" s="222"/>
      <c r="K26" s="221"/>
      <c r="L26" s="221"/>
      <c r="M26" s="221"/>
    </row>
    <row r="27" spans="3:12" ht="15.75" customHeight="1">
      <c r="C27" s="39"/>
      <c r="D27" s="39"/>
      <c r="E27" s="39"/>
      <c r="F27" s="222"/>
      <c r="G27" s="39"/>
      <c r="H27" s="39"/>
      <c r="I27" s="39"/>
      <c r="J27" s="39"/>
      <c r="K27" s="39"/>
      <c r="L27" s="39"/>
    </row>
    <row r="28" spans="3:12" ht="15.75" customHeight="1">
      <c r="C28" s="39"/>
      <c r="D28" s="39"/>
      <c r="E28" s="39"/>
      <c r="F28" s="222"/>
      <c r="G28" s="39"/>
      <c r="H28" s="39"/>
      <c r="I28" s="39"/>
      <c r="J28" s="39"/>
      <c r="K28" s="39"/>
      <c r="L28" s="39"/>
    </row>
    <row r="29" spans="3:12" ht="15.75" customHeight="1"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3:12" ht="15.75" customHeight="1">
      <c r="C30" s="223"/>
      <c r="D30" s="223"/>
      <c r="E30" s="223"/>
      <c r="F30" s="39"/>
      <c r="G30" s="224"/>
      <c r="H30" s="39"/>
      <c r="I30" s="224"/>
      <c r="J30" s="39"/>
      <c r="K30" s="224"/>
      <c r="L30" s="39"/>
    </row>
    <row r="31" spans="2:12" ht="15.75" customHeight="1">
      <c r="B31" s="116"/>
      <c r="C31" s="39"/>
      <c r="D31" s="39"/>
      <c r="E31" s="225"/>
      <c r="F31" s="39"/>
      <c r="G31" s="226"/>
      <c r="H31" s="225"/>
      <c r="I31" s="227"/>
      <c r="J31" s="228"/>
      <c r="K31" s="229"/>
      <c r="L31" s="39"/>
    </row>
    <row r="32" spans="1:12" ht="15.75" customHeight="1">
      <c r="A32" s="40" t="s">
        <v>335</v>
      </c>
      <c r="B32" s="116"/>
      <c r="C32" s="39"/>
      <c r="D32" s="39"/>
      <c r="E32" s="39"/>
      <c r="F32" s="39"/>
      <c r="G32" s="46"/>
      <c r="H32" s="225"/>
      <c r="I32" s="222"/>
      <c r="J32" s="39"/>
      <c r="K32" s="229"/>
      <c r="L32" s="225"/>
    </row>
    <row r="33" spans="2:12" ht="15.75" customHeight="1">
      <c r="B33" s="116"/>
      <c r="C33" s="39"/>
      <c r="D33" s="39"/>
      <c r="E33" s="230"/>
      <c r="F33" s="39"/>
      <c r="G33" s="39"/>
      <c r="H33" s="225"/>
      <c r="I33" s="222"/>
      <c r="J33" s="39"/>
      <c r="K33" s="225"/>
      <c r="L33" s="225"/>
    </row>
    <row r="34" spans="3:12" ht="15.75" customHeight="1">
      <c r="C34" s="39"/>
      <c r="D34" s="39"/>
      <c r="E34" s="39"/>
      <c r="F34" s="39"/>
      <c r="G34" s="39"/>
      <c r="H34" s="39"/>
      <c r="I34" s="222"/>
      <c r="J34" s="39"/>
      <c r="K34" s="39"/>
      <c r="L34" s="225"/>
    </row>
    <row r="35" spans="3:12" ht="15.75" customHeight="1">
      <c r="C35" s="223"/>
      <c r="D35" s="223"/>
      <c r="E35" s="223"/>
      <c r="F35" s="223"/>
      <c r="G35" s="224"/>
      <c r="H35" s="39"/>
      <c r="I35" s="231"/>
      <c r="J35" s="39"/>
      <c r="K35" s="229"/>
      <c r="L35" s="39"/>
    </row>
    <row r="36" spans="3:12" ht="15.75" customHeight="1">
      <c r="C36" s="39"/>
      <c r="D36" s="39"/>
      <c r="G36" s="226"/>
      <c r="H36" s="39"/>
      <c r="I36" s="229"/>
      <c r="J36" s="39"/>
      <c r="K36" s="229"/>
      <c r="L36" s="39"/>
    </row>
    <row r="37" spans="3:12" ht="15.75" customHeight="1">
      <c r="C37" s="39"/>
      <c r="D37" s="39"/>
      <c r="E37" s="39"/>
      <c r="F37" s="39"/>
      <c r="G37" s="46"/>
      <c r="H37" s="39"/>
      <c r="I37" s="46"/>
      <c r="J37" s="39"/>
      <c r="K37" s="232"/>
      <c r="L37" s="39"/>
    </row>
    <row r="38" spans="3:12" ht="15.75" customHeight="1"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3:12" ht="15.75" customHeight="1"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3:12" ht="15.75" customHeight="1">
      <c r="C40" s="223"/>
      <c r="D40" s="223"/>
      <c r="E40" s="223"/>
      <c r="F40" s="39"/>
      <c r="G40" s="233"/>
      <c r="H40" s="39"/>
      <c r="I40" s="229"/>
      <c r="J40" s="39"/>
      <c r="K40" s="229"/>
      <c r="L40" s="39"/>
    </row>
    <row r="41" spans="3:12" ht="15.75" customHeight="1">
      <c r="C41" s="39"/>
      <c r="D41" s="39"/>
      <c r="E41" s="39"/>
      <c r="F41" s="39"/>
      <c r="G41" s="232"/>
      <c r="H41" s="39"/>
      <c r="I41" s="234"/>
      <c r="J41" s="39"/>
      <c r="K41" s="234"/>
      <c r="L41" s="39"/>
    </row>
    <row r="42" spans="3:12" ht="15.75" customHeight="1">
      <c r="C42" s="39"/>
      <c r="D42" s="39"/>
      <c r="E42" s="39"/>
      <c r="F42" s="39"/>
      <c r="G42" s="46"/>
      <c r="H42" s="39"/>
      <c r="I42" s="47"/>
      <c r="J42" s="39"/>
      <c r="K42" s="229"/>
      <c r="L42" s="39"/>
    </row>
    <row r="43" spans="3:12" ht="15.75" customHeight="1"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3:12" ht="15.75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3:12" ht="15.75" customHeight="1"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3:12" ht="15.75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</row>
  </sheetData>
  <sheetProtection password="CE90" sheet="1"/>
  <mergeCells count="1">
    <mergeCell ref="B2:D2"/>
  </mergeCells>
  <hyperlinks>
    <hyperlink ref="A2" location="INDEX!A1" display="◄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C110"/>
  <sheetViews>
    <sheetView tabSelected="1" zoomScalePageLayoutView="0" workbookViewId="0" topLeftCell="A37">
      <selection activeCell="M5" sqref="M5"/>
    </sheetView>
  </sheetViews>
  <sheetFormatPr defaultColWidth="9.140625" defaultRowHeight="15.75" customHeight="1"/>
  <cols>
    <col min="1" max="1" width="5.7109375" style="40" customWidth="1"/>
    <col min="2" max="2" width="2.7109375" style="40" customWidth="1"/>
    <col min="3" max="3" width="9.140625" style="40" customWidth="1"/>
    <col min="4" max="4" width="4.421875" style="40" customWidth="1"/>
    <col min="5" max="5" width="9.140625" style="40" customWidth="1"/>
    <col min="6" max="6" width="9.28125" style="40" customWidth="1"/>
    <col min="7" max="7" width="7.7109375" style="40" customWidth="1"/>
    <col min="8" max="8" width="15.7109375" style="40" customWidth="1"/>
    <col min="9" max="9" width="5.7109375" style="40" customWidth="1"/>
    <col min="10" max="10" width="12.00390625" style="40" customWidth="1"/>
    <col min="11" max="11" width="17.28125" style="40" customWidth="1"/>
    <col min="12" max="12" width="5.7109375" style="40" customWidth="1"/>
    <col min="13" max="13" width="15.7109375" style="40" customWidth="1"/>
    <col min="14" max="14" width="9.421875" style="40" customWidth="1"/>
    <col min="15" max="15" width="2.7109375" style="40" customWidth="1"/>
    <col min="16" max="18" width="14.7109375" style="40" customWidth="1"/>
    <col min="19" max="16384" width="9.140625" style="40" customWidth="1"/>
  </cols>
  <sheetData>
    <row r="1" spans="1:29" ht="15.75" customHeight="1">
      <c r="A1" s="39"/>
      <c r="B1" s="39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2" ht="15.75" customHeight="1">
      <c r="A2" s="96" t="s">
        <v>294</v>
      </c>
      <c r="B2" s="94"/>
      <c r="C2" s="245" t="s">
        <v>15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93"/>
      <c r="P2" s="242" t="s">
        <v>152</v>
      </c>
      <c r="Q2" s="242"/>
      <c r="R2" s="242"/>
      <c r="S2" s="50"/>
      <c r="T2" s="50"/>
      <c r="U2" s="50"/>
      <c r="V2" s="50"/>
    </row>
    <row r="3" spans="1:22" ht="15.75" customHeight="1">
      <c r="A3" s="39"/>
      <c r="B3" s="93"/>
      <c r="C3" s="13"/>
      <c r="D3" s="13"/>
      <c r="E3" s="13"/>
      <c r="F3" s="22"/>
      <c r="G3" s="22"/>
      <c r="H3" s="22"/>
      <c r="I3" s="22"/>
      <c r="J3" s="13"/>
      <c r="K3" s="13"/>
      <c r="L3" s="13"/>
      <c r="M3" s="13"/>
      <c r="N3" s="13"/>
      <c r="O3" s="93"/>
      <c r="P3" s="103"/>
      <c r="Q3" s="104" t="s">
        <v>1</v>
      </c>
      <c r="R3" s="104" t="s">
        <v>3</v>
      </c>
      <c r="S3" s="103"/>
      <c r="T3" s="103"/>
      <c r="U3" s="103"/>
      <c r="V3" s="103"/>
    </row>
    <row r="4" spans="1:22" ht="15.75" customHeight="1">
      <c r="A4" s="39"/>
      <c r="B4" s="93"/>
      <c r="C4" s="13"/>
      <c r="D4" s="13"/>
      <c r="E4" s="13"/>
      <c r="F4" s="13"/>
      <c r="G4" s="14" t="s">
        <v>1</v>
      </c>
      <c r="H4" s="1">
        <v>6378388</v>
      </c>
      <c r="I4" s="13" t="s">
        <v>2</v>
      </c>
      <c r="J4" s="13"/>
      <c r="K4" s="8"/>
      <c r="L4" s="23" t="s">
        <v>19</v>
      </c>
      <c r="M4" s="11">
        <v>45</v>
      </c>
      <c r="N4" s="13" t="s">
        <v>16</v>
      </c>
      <c r="O4" s="93"/>
      <c r="P4" s="105" t="s">
        <v>58</v>
      </c>
      <c r="Q4" s="100">
        <v>6378388</v>
      </c>
      <c r="R4" s="101">
        <f>1/297</f>
        <v>0.003367003367003367</v>
      </c>
      <c r="S4" s="247" t="s">
        <v>66</v>
      </c>
      <c r="T4" s="247"/>
      <c r="U4" s="247"/>
      <c r="V4" s="247"/>
    </row>
    <row r="5" spans="1:22" ht="15.75" customHeight="1">
      <c r="A5" s="39"/>
      <c r="B5" s="93"/>
      <c r="C5" s="37"/>
      <c r="D5" s="13"/>
      <c r="E5" s="13"/>
      <c r="F5" s="8" t="s">
        <v>4</v>
      </c>
      <c r="G5" s="14"/>
      <c r="H5" s="15"/>
      <c r="I5" s="13"/>
      <c r="J5" s="13"/>
      <c r="K5" s="8"/>
      <c r="L5" s="23"/>
      <c r="M5" s="24"/>
      <c r="N5" s="13"/>
      <c r="O5" s="93"/>
      <c r="P5" s="105" t="s">
        <v>63</v>
      </c>
      <c r="Q5" s="100">
        <v>6378140</v>
      </c>
      <c r="R5" s="102">
        <f>1/298.257</f>
        <v>0.0033528131778969143</v>
      </c>
      <c r="S5" s="106"/>
      <c r="T5" s="106"/>
      <c r="U5" s="106"/>
      <c r="V5" s="106"/>
    </row>
    <row r="6" spans="1:22" ht="15.75" customHeight="1">
      <c r="A6" s="39"/>
      <c r="B6" s="93"/>
      <c r="C6" s="13"/>
      <c r="D6" s="13"/>
      <c r="E6" s="13"/>
      <c r="F6" s="8"/>
      <c r="G6" s="14" t="s">
        <v>3</v>
      </c>
      <c r="H6" s="2">
        <v>0.003367003367</v>
      </c>
      <c r="I6" s="13"/>
      <c r="J6" s="13"/>
      <c r="K6" s="14" t="s">
        <v>17</v>
      </c>
      <c r="L6" s="23" t="s">
        <v>7</v>
      </c>
      <c r="M6" s="12">
        <v>0</v>
      </c>
      <c r="N6" s="13" t="s">
        <v>16</v>
      </c>
      <c r="O6" s="93"/>
      <c r="P6" s="105" t="s">
        <v>60</v>
      </c>
      <c r="Q6" s="100">
        <v>6378137</v>
      </c>
      <c r="R6" s="102">
        <f>1/298.257222101</f>
        <v>0.003352810681182319</v>
      </c>
      <c r="S6" s="106"/>
      <c r="T6" s="106"/>
      <c r="U6" s="106"/>
      <c r="V6" s="106"/>
    </row>
    <row r="7" spans="1:22" ht="15.75" customHeight="1">
      <c r="A7" s="39"/>
      <c r="B7" s="93"/>
      <c r="C7" s="13"/>
      <c r="D7" s="13"/>
      <c r="E7" s="13"/>
      <c r="F7" s="8"/>
      <c r="G7" s="14"/>
      <c r="H7" s="25"/>
      <c r="I7" s="13"/>
      <c r="J7" s="8"/>
      <c r="K7" s="8"/>
      <c r="L7" s="23"/>
      <c r="M7" s="26"/>
      <c r="N7" s="13"/>
      <c r="O7" s="93"/>
      <c r="P7" s="105" t="s">
        <v>61</v>
      </c>
      <c r="Q7" s="100">
        <v>6378135</v>
      </c>
      <c r="R7" s="102">
        <f>1/298.26</f>
        <v>0.003352779454167505</v>
      </c>
      <c r="S7" s="106"/>
      <c r="T7" s="106"/>
      <c r="U7" s="106"/>
      <c r="V7" s="106"/>
    </row>
    <row r="8" spans="1:22" ht="15.75" customHeight="1">
      <c r="A8" s="39"/>
      <c r="B8" s="93"/>
      <c r="C8" s="14"/>
      <c r="D8" s="51"/>
      <c r="E8" s="51"/>
      <c r="F8" s="51"/>
      <c r="G8" s="51"/>
      <c r="H8" s="51"/>
      <c r="I8" s="37"/>
      <c r="J8" s="79"/>
      <c r="K8" s="13"/>
      <c r="L8" s="14" t="s">
        <v>18</v>
      </c>
      <c r="M8" s="3">
        <v>0</v>
      </c>
      <c r="N8" s="13" t="s">
        <v>2</v>
      </c>
      <c r="O8" s="93"/>
      <c r="P8" s="105" t="s">
        <v>59</v>
      </c>
      <c r="Q8" s="100">
        <v>6378137</v>
      </c>
      <c r="R8" s="102">
        <f>1/298.257223563</f>
        <v>0.0033528106647474805</v>
      </c>
      <c r="S8" s="106"/>
      <c r="T8" s="106"/>
      <c r="U8" s="106"/>
      <c r="V8" s="106"/>
    </row>
    <row r="9" spans="1:22" ht="15.75" customHeight="1">
      <c r="A9" s="39"/>
      <c r="B9" s="93"/>
      <c r="C9" s="13"/>
      <c r="D9" s="51"/>
      <c r="E9" s="51"/>
      <c r="F9" s="51"/>
      <c r="G9" s="51"/>
      <c r="H9" s="51"/>
      <c r="I9" s="37"/>
      <c r="J9" s="91"/>
      <c r="K9" s="21"/>
      <c r="L9" s="27"/>
      <c r="M9" s="27"/>
      <c r="N9" s="13"/>
      <c r="O9" s="93"/>
      <c r="P9" s="105"/>
      <c r="Q9" s="107"/>
      <c r="R9" s="102"/>
      <c r="S9" s="106"/>
      <c r="T9" s="106"/>
      <c r="U9" s="106"/>
      <c r="V9" s="106"/>
    </row>
    <row r="10" spans="1:22" ht="15.75" customHeight="1">
      <c r="A10" s="39"/>
      <c r="B10" s="93"/>
      <c r="C10" s="13"/>
      <c r="D10" s="8"/>
      <c r="E10" s="37"/>
      <c r="F10" s="37"/>
      <c r="G10" s="37"/>
      <c r="H10" s="28"/>
      <c r="I10" s="28"/>
      <c r="J10" s="37"/>
      <c r="K10" s="37"/>
      <c r="L10" s="27"/>
      <c r="M10" s="27"/>
      <c r="N10" s="13"/>
      <c r="O10" s="93"/>
      <c r="P10" s="108" t="s">
        <v>62</v>
      </c>
      <c r="Q10" s="109">
        <v>6371000</v>
      </c>
      <c r="R10" s="102">
        <v>0</v>
      </c>
      <c r="S10" s="110"/>
      <c r="T10" s="110"/>
      <c r="U10" s="106"/>
      <c r="V10" s="106"/>
    </row>
    <row r="11" spans="1:22" ht="15.75" customHeight="1">
      <c r="A11" s="39"/>
      <c r="B11" s="93"/>
      <c r="C11" s="13"/>
      <c r="D11" s="243" t="s">
        <v>5</v>
      </c>
      <c r="E11" s="243"/>
      <c r="F11" s="243"/>
      <c r="G11" s="8" t="s">
        <v>1</v>
      </c>
      <c r="H11" s="10">
        <f>H4</f>
        <v>6378388</v>
      </c>
      <c r="I11" s="13" t="s">
        <v>2</v>
      </c>
      <c r="J11" s="246" t="s">
        <v>8</v>
      </c>
      <c r="K11" s="246"/>
      <c r="L11" s="29" t="s">
        <v>19</v>
      </c>
      <c r="M11" s="16">
        <f>M4</f>
        <v>45</v>
      </c>
      <c r="N11" s="30" t="s">
        <v>16</v>
      </c>
      <c r="O11" s="93"/>
      <c r="P11" s="39"/>
      <c r="Q11" s="39"/>
      <c r="R11" s="39"/>
      <c r="S11" s="39"/>
      <c r="T11" s="39"/>
      <c r="U11" s="39"/>
      <c r="V11" s="39"/>
    </row>
    <row r="12" spans="1:22" ht="15.75" customHeight="1">
      <c r="A12" s="39"/>
      <c r="B12" s="93"/>
      <c r="C12" s="13"/>
      <c r="D12" s="246" t="s">
        <v>6</v>
      </c>
      <c r="E12" s="246"/>
      <c r="F12" s="246"/>
      <c r="G12" s="9" t="s">
        <v>23</v>
      </c>
      <c r="H12" s="10">
        <f>H4*(1-H6)</f>
        <v>6356911.946127968</v>
      </c>
      <c r="I12" s="13" t="s">
        <v>2</v>
      </c>
      <c r="J12" s="246" t="s">
        <v>116</v>
      </c>
      <c r="K12" s="246"/>
      <c r="L12" s="29" t="s">
        <v>2</v>
      </c>
      <c r="M12" s="16">
        <f>ATAN((H12/H4)*TAN(M4*PI()/180))*180/PI()</f>
        <v>44.90337989004791</v>
      </c>
      <c r="N12" s="30" t="s">
        <v>16</v>
      </c>
      <c r="O12" s="93"/>
      <c r="P12" s="39"/>
      <c r="Q12" s="39"/>
      <c r="R12" s="39"/>
      <c r="S12" s="39"/>
      <c r="T12" s="39"/>
      <c r="U12" s="39"/>
      <c r="V12" s="39"/>
    </row>
    <row r="13" spans="1:15" ht="15.75" customHeight="1">
      <c r="A13" s="39"/>
      <c r="B13" s="93"/>
      <c r="C13" s="13"/>
      <c r="D13" s="37"/>
      <c r="E13" s="37"/>
      <c r="F13" s="37"/>
      <c r="G13" s="37"/>
      <c r="H13" s="37"/>
      <c r="I13" s="37"/>
      <c r="J13" s="248" t="s">
        <v>532</v>
      </c>
      <c r="K13" s="248"/>
      <c r="L13" s="31" t="s">
        <v>29</v>
      </c>
      <c r="M13" s="16">
        <f>ATAN((H12^2/H4^2)*TAN(M4*PI()/180))*180/PI()</f>
        <v>44.80676087913607</v>
      </c>
      <c r="N13" s="13" t="s">
        <v>16</v>
      </c>
      <c r="O13" s="93"/>
    </row>
    <row r="14" spans="1:15" ht="15.75" customHeight="1">
      <c r="A14" s="39"/>
      <c r="B14" s="93"/>
      <c r="C14" s="13"/>
      <c r="D14" s="246" t="s">
        <v>11</v>
      </c>
      <c r="E14" s="246"/>
      <c r="F14" s="246"/>
      <c r="G14" s="38" t="s">
        <v>69</v>
      </c>
      <c r="H14" s="10">
        <f>H4*2</f>
        <v>12756776</v>
      </c>
      <c r="I14" s="13" t="s">
        <v>2</v>
      </c>
      <c r="J14" s="37"/>
      <c r="K14" s="37"/>
      <c r="L14" s="37"/>
      <c r="M14" s="37"/>
      <c r="O14" s="93"/>
    </row>
    <row r="15" spans="1:15" ht="15.75" customHeight="1">
      <c r="A15" s="39"/>
      <c r="B15" s="93"/>
      <c r="C15" s="13"/>
      <c r="D15" s="246" t="s">
        <v>12</v>
      </c>
      <c r="E15" s="246"/>
      <c r="F15" s="246"/>
      <c r="G15" s="38" t="s">
        <v>70</v>
      </c>
      <c r="H15" s="10">
        <f>H12*2</f>
        <v>12713823.892255936</v>
      </c>
      <c r="I15" s="13" t="s">
        <v>2</v>
      </c>
      <c r="J15" s="243" t="s">
        <v>38</v>
      </c>
      <c r="K15" s="243"/>
      <c r="L15" s="29" t="s">
        <v>7</v>
      </c>
      <c r="M15" s="16">
        <f>M6</f>
        <v>0</v>
      </c>
      <c r="N15" s="13" t="s">
        <v>16</v>
      </c>
      <c r="O15" s="93"/>
    </row>
    <row r="16" spans="1:15" ht="15.75" customHeight="1">
      <c r="A16" s="39"/>
      <c r="B16" s="93"/>
      <c r="C16" s="13"/>
      <c r="D16" s="37"/>
      <c r="E16" s="37"/>
      <c r="F16" s="37"/>
      <c r="G16" s="37"/>
      <c r="H16" s="37"/>
      <c r="I16" s="37"/>
      <c r="J16" s="243" t="s">
        <v>122</v>
      </c>
      <c r="K16" s="243"/>
      <c r="L16" s="8" t="s">
        <v>18</v>
      </c>
      <c r="M16" s="10">
        <f>M8</f>
        <v>0</v>
      </c>
      <c r="N16" s="13" t="s">
        <v>2</v>
      </c>
      <c r="O16" s="93"/>
    </row>
    <row r="17" spans="1:15" ht="15.75" customHeight="1">
      <c r="A17" s="39"/>
      <c r="B17" s="93"/>
      <c r="C17" s="13"/>
      <c r="D17" s="243" t="s">
        <v>13</v>
      </c>
      <c r="E17" s="243"/>
      <c r="F17" s="243"/>
      <c r="G17" s="45" t="s">
        <v>72</v>
      </c>
      <c r="H17" s="10">
        <f>H4-H12</f>
        <v>21476.05387203209</v>
      </c>
      <c r="I17" s="13" t="s">
        <v>2</v>
      </c>
      <c r="J17" s="37"/>
      <c r="K17" s="37"/>
      <c r="L17" s="37"/>
      <c r="M17" s="37"/>
      <c r="N17" s="37"/>
      <c r="O17" s="93"/>
    </row>
    <row r="18" spans="1:15" ht="15.75" customHeight="1">
      <c r="A18" s="39"/>
      <c r="B18" s="93"/>
      <c r="C18" s="13"/>
      <c r="D18" s="246" t="s">
        <v>14</v>
      </c>
      <c r="E18" s="246"/>
      <c r="F18" s="246"/>
      <c r="G18" s="38" t="s">
        <v>71</v>
      </c>
      <c r="H18" s="10">
        <f>H14-H15</f>
        <v>42952.10774406418</v>
      </c>
      <c r="I18" s="13" t="s">
        <v>2</v>
      </c>
      <c r="J18" s="248" t="s">
        <v>9</v>
      </c>
      <c r="K18" s="248"/>
      <c r="L18" s="31" t="s">
        <v>30</v>
      </c>
      <c r="M18" s="16">
        <f>90-M4</f>
        <v>45</v>
      </c>
      <c r="N18" s="13" t="s">
        <v>16</v>
      </c>
      <c r="O18" s="93"/>
    </row>
    <row r="19" spans="1:15" ht="15.75" customHeight="1">
      <c r="A19" s="39"/>
      <c r="B19" s="93"/>
      <c r="C19" s="13"/>
      <c r="D19" s="37"/>
      <c r="E19" s="37"/>
      <c r="F19" s="37"/>
      <c r="G19" s="37"/>
      <c r="H19" s="37"/>
      <c r="I19" s="37"/>
      <c r="J19" s="246" t="s">
        <v>123</v>
      </c>
      <c r="K19" s="246"/>
      <c r="L19" s="29" t="s">
        <v>31</v>
      </c>
      <c r="M19" s="16">
        <f>90-M12</f>
        <v>45.09662010995209</v>
      </c>
      <c r="N19" s="13" t="s">
        <v>16</v>
      </c>
      <c r="O19" s="93"/>
    </row>
    <row r="20" spans="1:15" ht="15.75" customHeight="1">
      <c r="A20" s="39"/>
      <c r="B20" s="93"/>
      <c r="C20" s="13"/>
      <c r="D20" s="246" t="s">
        <v>97</v>
      </c>
      <c r="E20" s="246"/>
      <c r="F20" s="246"/>
      <c r="G20" s="9" t="s">
        <v>3</v>
      </c>
      <c r="H20" s="6">
        <f>H6</f>
        <v>0.003367003367</v>
      </c>
      <c r="I20" s="13"/>
      <c r="J20" s="246" t="s">
        <v>10</v>
      </c>
      <c r="K20" s="246"/>
      <c r="L20" s="29" t="s">
        <v>32</v>
      </c>
      <c r="M20" s="16">
        <f>90-M13</f>
        <v>45.19323912086393</v>
      </c>
      <c r="N20" s="13" t="s">
        <v>16</v>
      </c>
      <c r="O20" s="93"/>
    </row>
    <row r="21" spans="1:15" ht="15.75" customHeight="1">
      <c r="A21" s="39"/>
      <c r="B21" s="93"/>
      <c r="C21" s="13"/>
      <c r="D21" s="246" t="s">
        <v>124</v>
      </c>
      <c r="E21" s="246"/>
      <c r="F21" s="246"/>
      <c r="G21" s="9" t="s">
        <v>54</v>
      </c>
      <c r="H21" s="7">
        <f>IF(H6=0,0,1/H6)</f>
        <v>297.000000000297</v>
      </c>
      <c r="I21" s="13"/>
      <c r="J21" s="37"/>
      <c r="K21" s="37"/>
      <c r="L21" s="37"/>
      <c r="M21" s="37"/>
      <c r="N21" s="37"/>
      <c r="O21" s="93"/>
    </row>
    <row r="22" spans="1:15" ht="15.75" customHeight="1">
      <c r="A22" s="39"/>
      <c r="B22" s="93"/>
      <c r="C22" s="13"/>
      <c r="D22" s="246" t="s">
        <v>98</v>
      </c>
      <c r="E22" s="246"/>
      <c r="F22" s="246"/>
      <c r="G22" s="9" t="s">
        <v>135</v>
      </c>
      <c r="H22" s="6">
        <f>(H11-H12)/H12</f>
        <v>0.0033783783783749403</v>
      </c>
      <c r="I22" s="13"/>
      <c r="J22" s="249" t="s">
        <v>100</v>
      </c>
      <c r="K22" s="249"/>
      <c r="L22" s="29" t="s">
        <v>33</v>
      </c>
      <c r="M22" s="10">
        <f>H4*(1-H28)/(1-H28*(SIN(M4*PI()/180))^2)^1.5</f>
        <v>6367586.595467227</v>
      </c>
      <c r="N22" s="13" t="s">
        <v>2</v>
      </c>
      <c r="O22" s="93"/>
    </row>
    <row r="23" spans="1:15" ht="15.75" customHeight="1">
      <c r="A23" s="39"/>
      <c r="B23" s="93"/>
      <c r="C23" s="13"/>
      <c r="D23" s="246" t="s">
        <v>125</v>
      </c>
      <c r="E23" s="246"/>
      <c r="F23" s="246"/>
      <c r="G23" s="9" t="s">
        <v>136</v>
      </c>
      <c r="H23" s="7">
        <f>IF(H22=0,0,1/H22)</f>
        <v>296.0000000003012</v>
      </c>
      <c r="I23" s="13"/>
      <c r="J23" s="249" t="s">
        <v>101</v>
      </c>
      <c r="K23" s="249"/>
      <c r="L23" s="8" t="s">
        <v>0</v>
      </c>
      <c r="M23" s="10">
        <f>H4/(1-H28*(SIN(M4*PI()/180))^2)^0.5</f>
        <v>6389135.050379048</v>
      </c>
      <c r="N23" s="13" t="s">
        <v>2</v>
      </c>
      <c r="O23" s="93"/>
    </row>
    <row r="24" spans="1:15" ht="15.75" customHeight="1">
      <c r="A24" s="39"/>
      <c r="B24" s="93"/>
      <c r="C24" s="13"/>
      <c r="D24" s="246" t="s">
        <v>127</v>
      </c>
      <c r="E24" s="246"/>
      <c r="F24" s="246"/>
      <c r="G24" s="9" t="s">
        <v>535</v>
      </c>
      <c r="H24" s="6">
        <f>(H11-H12)/(H11+H12)</f>
        <v>0.0016863406408077304</v>
      </c>
      <c r="I24" s="13"/>
      <c r="J24" s="37"/>
      <c r="K24" s="37"/>
      <c r="L24" s="37"/>
      <c r="M24" s="37"/>
      <c r="N24" s="37"/>
      <c r="O24" s="93"/>
    </row>
    <row r="25" spans="1:15" ht="15.75" customHeight="1">
      <c r="A25" s="39"/>
      <c r="B25" s="93"/>
      <c r="C25" s="13"/>
      <c r="D25" s="246" t="s">
        <v>128</v>
      </c>
      <c r="E25" s="246"/>
      <c r="F25" s="246"/>
      <c r="G25" s="9" t="s">
        <v>137</v>
      </c>
      <c r="H25" s="7">
        <f>IF(H24=0,0,1/H24)</f>
        <v>593.0000000006024</v>
      </c>
      <c r="I25" s="13"/>
      <c r="J25" s="243" t="s">
        <v>93</v>
      </c>
      <c r="K25" s="243"/>
      <c r="L25" s="38" t="s">
        <v>76</v>
      </c>
      <c r="M25" s="6">
        <f>1/M22</f>
        <v>1.570453711162485E-07</v>
      </c>
      <c r="N25" s="37"/>
      <c r="O25" s="93"/>
    </row>
    <row r="26" spans="1:15" ht="15.75" customHeight="1">
      <c r="A26" s="39"/>
      <c r="B26" s="93"/>
      <c r="C26" s="13"/>
      <c r="D26" s="37"/>
      <c r="E26" s="37"/>
      <c r="F26" s="37"/>
      <c r="G26" s="37"/>
      <c r="H26" s="37"/>
      <c r="I26" s="37"/>
      <c r="J26" s="243" t="s">
        <v>94</v>
      </c>
      <c r="K26" s="243"/>
      <c r="L26" s="38" t="s">
        <v>77</v>
      </c>
      <c r="M26" s="6">
        <f>1/M23</f>
        <v>1.5651570863894527E-07</v>
      </c>
      <c r="N26" s="13"/>
      <c r="O26" s="93"/>
    </row>
    <row r="27" spans="1:15" ht="15.75" customHeight="1">
      <c r="A27" s="39"/>
      <c r="B27" s="93"/>
      <c r="C27" s="13"/>
      <c r="D27" s="243" t="s">
        <v>78</v>
      </c>
      <c r="E27" s="243"/>
      <c r="F27" s="243"/>
      <c r="G27" s="9" t="s">
        <v>73</v>
      </c>
      <c r="H27" s="7">
        <f>SQRT(H28)</f>
        <v>0.08199188997898821</v>
      </c>
      <c r="I27" s="13"/>
      <c r="J27" s="243" t="s">
        <v>121</v>
      </c>
      <c r="K27" s="243"/>
      <c r="L27" s="38" t="s">
        <v>150</v>
      </c>
      <c r="M27" s="6">
        <f>((1/M22^2+1/M23^2)/2)*10^5</f>
        <v>2.4580207819895715E-09</v>
      </c>
      <c r="N27" s="13"/>
      <c r="O27" s="93"/>
    </row>
    <row r="28" spans="1:15" ht="15.75" customHeight="1">
      <c r="A28" s="39"/>
      <c r="B28" s="93"/>
      <c r="C28" s="13"/>
      <c r="D28" s="246" t="s">
        <v>81</v>
      </c>
      <c r="E28" s="246"/>
      <c r="F28" s="246"/>
      <c r="G28" s="9" t="s">
        <v>24</v>
      </c>
      <c r="H28" s="7">
        <f>(H4^2-H12^2)/H4^2</f>
        <v>0.006722670022326506</v>
      </c>
      <c r="I28" s="13"/>
      <c r="J28" s="243" t="s">
        <v>120</v>
      </c>
      <c r="K28" s="243"/>
      <c r="L28" s="38" t="s">
        <v>149</v>
      </c>
      <c r="M28" s="6">
        <f>1/(M22*M23)*10^5</f>
        <v>2.458006754872578E-09</v>
      </c>
      <c r="N28" s="13"/>
      <c r="O28" s="93"/>
    </row>
    <row r="29" spans="1:15" ht="15.75" customHeight="1">
      <c r="A29" s="39"/>
      <c r="B29" s="93"/>
      <c r="C29" s="13"/>
      <c r="D29" s="243" t="s">
        <v>80</v>
      </c>
      <c r="E29" s="243"/>
      <c r="F29" s="243"/>
      <c r="G29" s="9" t="s">
        <v>74</v>
      </c>
      <c r="H29" s="7">
        <f>SQRT(H30)</f>
        <v>0.08226888960729531</v>
      </c>
      <c r="I29" s="13"/>
      <c r="J29" s="243" t="s">
        <v>119</v>
      </c>
      <c r="K29" s="243"/>
      <c r="L29" s="38" t="s">
        <v>151</v>
      </c>
      <c r="M29" s="6">
        <f>((1/M22+1/M23)/2)*10^5</f>
        <v>0.015678053987759687</v>
      </c>
      <c r="N29" s="13"/>
      <c r="O29" s="93"/>
    </row>
    <row r="30" spans="1:15" ht="15.75" customHeight="1">
      <c r="A30" s="39"/>
      <c r="B30" s="93"/>
      <c r="C30" s="13"/>
      <c r="D30" s="246" t="s">
        <v>82</v>
      </c>
      <c r="E30" s="246"/>
      <c r="F30" s="246"/>
      <c r="G30" s="9" t="s">
        <v>25</v>
      </c>
      <c r="H30" s="7">
        <f>(H4^2-H12^2)/H12^2</f>
        <v>0.006768170197217343</v>
      </c>
      <c r="I30" s="13"/>
      <c r="J30" s="37"/>
      <c r="K30" s="37"/>
      <c r="L30" s="37"/>
      <c r="M30" s="37"/>
      <c r="N30" s="37"/>
      <c r="O30" s="93"/>
    </row>
    <row r="31" spans="1:15" ht="15.75" customHeight="1">
      <c r="A31" s="39"/>
      <c r="B31" s="93"/>
      <c r="C31" s="13"/>
      <c r="D31" s="243" t="s">
        <v>79</v>
      </c>
      <c r="E31" s="243"/>
      <c r="F31" s="243"/>
      <c r="G31" s="9" t="s">
        <v>534</v>
      </c>
      <c r="H31" s="7">
        <f>SQRT((H11^2-H12^2)/(H11^2+H12^2))</f>
        <v>0.0580747078391103</v>
      </c>
      <c r="I31" s="13"/>
      <c r="J31" s="246" t="s">
        <v>20</v>
      </c>
      <c r="K31" s="246"/>
      <c r="L31" s="8" t="s">
        <v>34</v>
      </c>
      <c r="M31" s="10">
        <f>(M22*M23)^0.5</f>
        <v>6378351.723088297</v>
      </c>
      <c r="N31" s="13" t="s">
        <v>2</v>
      </c>
      <c r="O31" s="93"/>
    </row>
    <row r="32" spans="1:15" ht="15.75" customHeight="1">
      <c r="A32" s="39"/>
      <c r="B32" s="93"/>
      <c r="C32" s="13"/>
      <c r="D32" s="246" t="s">
        <v>83</v>
      </c>
      <c r="E32" s="246"/>
      <c r="F32" s="246"/>
      <c r="G32" s="9" t="s">
        <v>536</v>
      </c>
      <c r="H32" s="7">
        <f>H31^2</f>
        <v>0.003372671690598019</v>
      </c>
      <c r="I32" s="13"/>
      <c r="J32" s="246" t="s">
        <v>118</v>
      </c>
      <c r="K32" s="246"/>
      <c r="L32" s="8" t="s">
        <v>33</v>
      </c>
      <c r="M32" s="10">
        <f>IF(M4=90,0,M23*COS(M4*PI()/180))</f>
        <v>4517800.720039679</v>
      </c>
      <c r="N32" s="13" t="s">
        <v>2</v>
      </c>
      <c r="O32" s="93"/>
    </row>
    <row r="33" spans="1:15" ht="15.75" customHeight="1">
      <c r="A33" s="39"/>
      <c r="B33" s="93"/>
      <c r="C33" s="13"/>
      <c r="D33" s="250" t="s">
        <v>84</v>
      </c>
      <c r="E33" s="250"/>
      <c r="F33" s="250"/>
      <c r="G33" s="52" t="s">
        <v>85</v>
      </c>
      <c r="H33" s="7">
        <f>ACOS(H60)*180/PI()</f>
        <v>4.703068852097564</v>
      </c>
      <c r="I33" s="13" t="s">
        <v>16</v>
      </c>
      <c r="J33" s="250" t="s">
        <v>96</v>
      </c>
      <c r="K33" s="250"/>
      <c r="L33" s="32" t="s">
        <v>102</v>
      </c>
      <c r="M33" s="18">
        <f>M23*(1-H28)</f>
        <v>6346183.003707269</v>
      </c>
      <c r="N33" s="37" t="s">
        <v>2</v>
      </c>
      <c r="O33" s="93"/>
    </row>
    <row r="34" spans="1:15" ht="15.75" customHeight="1">
      <c r="A34" s="39"/>
      <c r="B34" s="93"/>
      <c r="C34" s="13"/>
      <c r="D34" s="37"/>
      <c r="E34" s="37"/>
      <c r="F34" s="37"/>
      <c r="G34" s="37"/>
      <c r="H34" s="37"/>
      <c r="I34" s="37"/>
      <c r="J34" s="243" t="s">
        <v>531</v>
      </c>
      <c r="K34" s="243"/>
      <c r="L34" s="32" t="s">
        <v>40</v>
      </c>
      <c r="M34" s="10">
        <f>M23*(1+H28*(H28-2)*(SIN(M4*PI()/180))^2)^0.5</f>
        <v>6367695.242728137</v>
      </c>
      <c r="N34" s="13" t="s">
        <v>2</v>
      </c>
      <c r="O34" s="93"/>
    </row>
    <row r="35" spans="1:15" ht="15.75" customHeight="1">
      <c r="A35" s="39"/>
      <c r="B35" s="93"/>
      <c r="C35" s="13"/>
      <c r="D35" s="246" t="s">
        <v>21</v>
      </c>
      <c r="E35" s="246"/>
      <c r="F35" s="246"/>
      <c r="G35" s="38" t="s">
        <v>75</v>
      </c>
      <c r="H35" s="10">
        <f>SQRT(H4^2-H12^2)</f>
        <v>522976.0871392986</v>
      </c>
      <c r="I35" s="13" t="s">
        <v>2</v>
      </c>
      <c r="J35" s="243" t="s">
        <v>115</v>
      </c>
      <c r="K35" s="243"/>
      <c r="L35" s="32" t="s">
        <v>117</v>
      </c>
      <c r="M35" s="18">
        <f>H11</f>
        <v>6378388</v>
      </c>
      <c r="N35" s="13" t="s">
        <v>2</v>
      </c>
      <c r="O35" s="93"/>
    </row>
    <row r="36" spans="1:15" ht="15.75" customHeight="1">
      <c r="A36" s="39"/>
      <c r="B36" s="93"/>
      <c r="C36" s="13"/>
      <c r="D36" s="243" t="s">
        <v>55</v>
      </c>
      <c r="E36" s="243"/>
      <c r="F36" s="243"/>
      <c r="G36" s="33" t="s">
        <v>18</v>
      </c>
      <c r="H36" s="7">
        <f>SQRT(H37)</f>
        <v>0.05817288972200675</v>
      </c>
      <c r="I36" s="13"/>
      <c r="J36" s="37"/>
      <c r="K36" s="37"/>
      <c r="L36" s="37"/>
      <c r="M36" s="37"/>
      <c r="N36" s="37"/>
      <c r="O36" s="93"/>
    </row>
    <row r="37" spans="1:15" ht="15.75" customHeight="1">
      <c r="A37" s="39"/>
      <c r="B37" s="93"/>
      <c r="C37" s="13"/>
      <c r="D37" s="243" t="s">
        <v>95</v>
      </c>
      <c r="E37" s="243"/>
      <c r="F37" s="243"/>
      <c r="G37" s="33" t="s">
        <v>41</v>
      </c>
      <c r="H37" s="7">
        <f>(M23-M22)/M22</f>
        <v>0.003384085098608759</v>
      </c>
      <c r="I37" s="13"/>
      <c r="J37" s="243" t="s">
        <v>39</v>
      </c>
      <c r="K37" s="243"/>
      <c r="L37" s="8" t="s">
        <v>35</v>
      </c>
      <c r="M37" s="10">
        <f>(M23+M8)*COS(M4*PI()/180)*COS(M6*PI()/180)</f>
        <v>4517800.720039679</v>
      </c>
      <c r="N37" s="13" t="s">
        <v>2</v>
      </c>
      <c r="O37" s="93"/>
    </row>
    <row r="38" spans="1:15" ht="15.75" customHeight="1">
      <c r="A38" s="39"/>
      <c r="B38" s="93"/>
      <c r="C38" s="13"/>
      <c r="D38" s="37"/>
      <c r="E38" s="37"/>
      <c r="F38" s="37"/>
      <c r="G38" s="37"/>
      <c r="H38" s="37"/>
      <c r="I38" s="37"/>
      <c r="J38" s="243" t="s">
        <v>39</v>
      </c>
      <c r="K38" s="243"/>
      <c r="L38" s="8" t="s">
        <v>36</v>
      </c>
      <c r="M38" s="10">
        <f>(M23+M8)*COS(M4*PI()/180)*SIN(M6*PI()/180)</f>
        <v>0</v>
      </c>
      <c r="N38" s="13" t="s">
        <v>2</v>
      </c>
      <c r="O38" s="93"/>
    </row>
    <row r="39" spans="1:15" ht="15.75" customHeight="1">
      <c r="A39" s="39"/>
      <c r="B39" s="93"/>
      <c r="C39" s="13"/>
      <c r="D39" s="250" t="s">
        <v>99</v>
      </c>
      <c r="E39" s="250"/>
      <c r="F39" s="250"/>
      <c r="G39" s="38" t="s">
        <v>126</v>
      </c>
      <c r="H39" s="10">
        <f>H4*(1-H28)</f>
        <v>6335508.202201633</v>
      </c>
      <c r="I39" s="13" t="s">
        <v>2</v>
      </c>
      <c r="J39" s="243" t="s">
        <v>39</v>
      </c>
      <c r="K39" s="243"/>
      <c r="L39" s="8" t="s">
        <v>37</v>
      </c>
      <c r="M39" s="17">
        <f>(M23*(1-H28)+M8)*SIN(M4*PI()/180)</f>
        <v>4487429.036572223</v>
      </c>
      <c r="N39" s="13" t="s">
        <v>2</v>
      </c>
      <c r="O39" s="93"/>
    </row>
    <row r="40" spans="1:15" ht="15.75" customHeight="1">
      <c r="A40" s="39"/>
      <c r="B40" s="93"/>
      <c r="C40" s="13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93"/>
    </row>
    <row r="41" spans="1:15" ht="15.75" customHeight="1">
      <c r="A41" s="39"/>
      <c r="B41" s="93"/>
      <c r="C41" s="13"/>
      <c r="D41" s="243" t="s">
        <v>28</v>
      </c>
      <c r="E41" s="243"/>
      <c r="F41" s="243"/>
      <c r="G41" s="8" t="s">
        <v>26</v>
      </c>
      <c r="H41" s="18">
        <f>H12^2/H4</f>
        <v>6335508.202201633</v>
      </c>
      <c r="I41" s="34" t="s">
        <v>2</v>
      </c>
      <c r="J41" s="251" t="s">
        <v>171</v>
      </c>
      <c r="K41" s="251"/>
      <c r="L41" s="32" t="s">
        <v>103</v>
      </c>
      <c r="M41" s="10">
        <f>D107</f>
        <v>4985037.137082232</v>
      </c>
      <c r="N41" s="13" t="s">
        <v>2</v>
      </c>
      <c r="O41" s="93"/>
    </row>
    <row r="42" spans="1:15" ht="15.75" customHeight="1">
      <c r="A42" s="39"/>
      <c r="B42" s="93"/>
      <c r="C42" s="13"/>
      <c r="D42" s="243" t="s">
        <v>22</v>
      </c>
      <c r="E42" s="243"/>
      <c r="F42" s="243"/>
      <c r="G42" s="8" t="s">
        <v>27</v>
      </c>
      <c r="H42" s="10">
        <f>H4^2/H12</f>
        <v>6399936.6081080865</v>
      </c>
      <c r="I42" s="34" t="s">
        <v>2</v>
      </c>
      <c r="J42" s="243" t="s">
        <v>145</v>
      </c>
      <c r="K42" s="243"/>
      <c r="L42" s="32" t="s">
        <v>92</v>
      </c>
      <c r="M42" s="10">
        <f>M32*M6*PI()/180</f>
        <v>0</v>
      </c>
      <c r="N42" s="13" t="s">
        <v>2</v>
      </c>
      <c r="O42" s="93"/>
    </row>
    <row r="43" spans="1:15" ht="15.75" customHeight="1">
      <c r="A43" s="39"/>
      <c r="B43" s="93"/>
      <c r="C43" s="13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93"/>
    </row>
    <row r="44" spans="1:15" ht="15.75" customHeight="1">
      <c r="A44" s="39"/>
      <c r="B44" s="93"/>
      <c r="C44" s="13"/>
      <c r="D44" s="243" t="s">
        <v>153</v>
      </c>
      <c r="E44" s="243"/>
      <c r="F44" s="243"/>
      <c r="G44" s="8" t="s">
        <v>86</v>
      </c>
      <c r="H44" s="10">
        <f>SQRT((H4^2+(H4*H12^2/(SQRT(H4^2-H12^2)))*(LN((H4+SQRT(H4^2-H12^2))/H12)))/2)</f>
        <v>6371227.711334442</v>
      </c>
      <c r="I44" s="35" t="s">
        <v>2</v>
      </c>
      <c r="J44" s="243" t="s">
        <v>44</v>
      </c>
      <c r="K44" s="243"/>
      <c r="L44" s="8" t="s">
        <v>45</v>
      </c>
      <c r="M44" s="10">
        <f>2*PI()*M32</f>
        <v>28386179.104918666</v>
      </c>
      <c r="N44" s="13" t="s">
        <v>2</v>
      </c>
      <c r="O44" s="93"/>
    </row>
    <row r="45" spans="1:17" ht="15.75" customHeight="1">
      <c r="A45" s="39"/>
      <c r="B45" s="93"/>
      <c r="C45" s="13"/>
      <c r="D45" s="243" t="s">
        <v>154</v>
      </c>
      <c r="E45" s="243"/>
      <c r="F45" s="243"/>
      <c r="G45" s="8" t="s">
        <v>87</v>
      </c>
      <c r="H45" s="10">
        <f>(2*H11+H12)/3</f>
        <v>6371229.315375988</v>
      </c>
      <c r="I45" s="35" t="s">
        <v>2</v>
      </c>
      <c r="J45" s="37"/>
      <c r="K45" s="37"/>
      <c r="L45" s="37"/>
      <c r="M45" s="37"/>
      <c r="N45" s="37"/>
      <c r="O45" s="93"/>
      <c r="P45" s="53"/>
      <c r="Q45" s="117"/>
    </row>
    <row r="46" spans="1:17" ht="15.75" customHeight="1">
      <c r="A46" s="39"/>
      <c r="B46" s="93"/>
      <c r="C46" s="13"/>
      <c r="D46" s="243" t="s">
        <v>155</v>
      </c>
      <c r="E46" s="243"/>
      <c r="F46" s="243"/>
      <c r="G46" s="8" t="s">
        <v>88</v>
      </c>
      <c r="H46" s="10">
        <f>(H11^2*H12)^0.333333333333</f>
        <v>6371221.26577507</v>
      </c>
      <c r="I46" s="35" t="s">
        <v>2</v>
      </c>
      <c r="J46" s="243" t="s">
        <v>50</v>
      </c>
      <c r="K46" s="243"/>
      <c r="L46" s="38" t="s">
        <v>129</v>
      </c>
      <c r="M46" s="10">
        <f>M22*PI()/180</f>
        <v>111135.35149675935</v>
      </c>
      <c r="N46" s="13" t="s">
        <v>2</v>
      </c>
      <c r="O46" s="93"/>
      <c r="Q46" s="117"/>
    </row>
    <row r="47" spans="1:15" ht="15.75" customHeight="1">
      <c r="A47" s="39"/>
      <c r="B47" s="93"/>
      <c r="C47" s="13"/>
      <c r="D47" s="243" t="s">
        <v>156</v>
      </c>
      <c r="E47" s="243"/>
      <c r="F47" s="243"/>
      <c r="G47" s="8" t="s">
        <v>89</v>
      </c>
      <c r="H47" s="10">
        <f>H11*(1-H24)*(1-H24^2)*(1+9/4*H24^2+225/64*H24^4)</f>
        <v>6367654.500057594</v>
      </c>
      <c r="I47" s="35" t="s">
        <v>2</v>
      </c>
      <c r="J47" s="243" t="s">
        <v>146</v>
      </c>
      <c r="K47" s="243"/>
      <c r="L47" s="38" t="s">
        <v>130</v>
      </c>
      <c r="M47" s="10">
        <f>M46/60</f>
        <v>1852.2558582793224</v>
      </c>
      <c r="N47" s="13" t="s">
        <v>2</v>
      </c>
      <c r="O47" s="93"/>
    </row>
    <row r="48" spans="1:17" ht="15.75" customHeight="1">
      <c r="A48" s="39"/>
      <c r="B48" s="93"/>
      <c r="C48" s="13"/>
      <c r="D48" s="37"/>
      <c r="E48" s="37"/>
      <c r="F48" s="37"/>
      <c r="G48" s="37"/>
      <c r="H48" s="37"/>
      <c r="I48" s="37"/>
      <c r="J48" s="243" t="s">
        <v>147</v>
      </c>
      <c r="K48" s="243"/>
      <c r="L48" s="38" t="s">
        <v>131</v>
      </c>
      <c r="M48" s="10">
        <f>M47/60</f>
        <v>30.87093097132204</v>
      </c>
      <c r="N48" s="13" t="s">
        <v>2</v>
      </c>
      <c r="O48" s="93"/>
      <c r="Q48" s="116"/>
    </row>
    <row r="49" spans="1:15" ht="15.75" customHeight="1">
      <c r="A49" s="39"/>
      <c r="B49" s="93"/>
      <c r="C49" s="13"/>
      <c r="D49" s="251" t="s">
        <v>170</v>
      </c>
      <c r="E49" s="251"/>
      <c r="F49" s="251"/>
      <c r="G49" s="9" t="s">
        <v>91</v>
      </c>
      <c r="H49" s="10">
        <f>PI()/4*(3*(H4+H12)-((H4+3*H12)*(3*H4+H12))^0.5)</f>
        <v>10002288.298989465</v>
      </c>
      <c r="I49" s="34" t="s">
        <v>2</v>
      </c>
      <c r="J49" s="37"/>
      <c r="K49" s="37"/>
      <c r="L49" s="37"/>
      <c r="M49" s="37"/>
      <c r="N49" s="37"/>
      <c r="O49" s="93"/>
    </row>
    <row r="50" spans="1:15" ht="15.75" customHeight="1">
      <c r="A50" s="39"/>
      <c r="B50" s="93"/>
      <c r="C50" s="13"/>
      <c r="D50" s="243" t="s">
        <v>42</v>
      </c>
      <c r="E50" s="243"/>
      <c r="F50" s="243"/>
      <c r="G50" s="9" t="s">
        <v>46</v>
      </c>
      <c r="H50" s="10">
        <f>2*PI()*H11</f>
        <v>40076593.765090585</v>
      </c>
      <c r="I50" s="34" t="s">
        <v>2</v>
      </c>
      <c r="J50" s="243" t="s">
        <v>51</v>
      </c>
      <c r="K50" s="243"/>
      <c r="L50" s="38" t="s">
        <v>132</v>
      </c>
      <c r="M50" s="10">
        <f>M44/360</f>
        <v>78850.49751366297</v>
      </c>
      <c r="N50" s="13" t="s">
        <v>2</v>
      </c>
      <c r="O50" s="93"/>
    </row>
    <row r="51" spans="1:17" ht="15.75" customHeight="1">
      <c r="A51" s="39"/>
      <c r="B51" s="93"/>
      <c r="C51" s="13"/>
      <c r="D51" s="243" t="s">
        <v>47</v>
      </c>
      <c r="E51" s="243"/>
      <c r="F51" s="243"/>
      <c r="G51" s="9" t="s">
        <v>49</v>
      </c>
      <c r="H51" s="10">
        <f>H49*4</f>
        <v>40009153.19595786</v>
      </c>
      <c r="I51" s="34" t="s">
        <v>2</v>
      </c>
      <c r="J51" s="243" t="s">
        <v>148</v>
      </c>
      <c r="K51" s="243"/>
      <c r="L51" s="38" t="s">
        <v>133</v>
      </c>
      <c r="M51" s="10">
        <f>M50/60</f>
        <v>1314.1749585610494</v>
      </c>
      <c r="N51" s="13" t="s">
        <v>2</v>
      </c>
      <c r="O51" s="93"/>
      <c r="Q51" s="117"/>
    </row>
    <row r="52" spans="1:15" ht="15.75" customHeight="1">
      <c r="A52" s="39"/>
      <c r="B52" s="93"/>
      <c r="C52" s="13"/>
      <c r="D52" s="37"/>
      <c r="E52" s="37"/>
      <c r="F52" s="37"/>
      <c r="G52" s="37"/>
      <c r="H52" s="37"/>
      <c r="I52" s="37"/>
      <c r="J52" s="243" t="s">
        <v>52</v>
      </c>
      <c r="K52" s="243"/>
      <c r="L52" s="38" t="s">
        <v>134</v>
      </c>
      <c r="M52" s="10">
        <f>M51/60</f>
        <v>21.90291597601749</v>
      </c>
      <c r="N52" s="13" t="s">
        <v>2</v>
      </c>
      <c r="O52" s="93"/>
    </row>
    <row r="53" spans="1:15" ht="15.75" customHeight="1">
      <c r="A53" s="39"/>
      <c r="B53" s="93"/>
      <c r="C53" s="13"/>
      <c r="D53" s="243" t="s">
        <v>43</v>
      </c>
      <c r="E53" s="243"/>
      <c r="F53" s="243"/>
      <c r="G53" s="9" t="s">
        <v>90</v>
      </c>
      <c r="H53" s="17">
        <f>IF(20:20=0,(4*PI()*H4^2),(2*PI()*H4^2+(PI()*H12^2/(H28/2))*((LOG((1+(H28/2))/(1-(H28/2))))*2.302585093)))</f>
        <v>509530609531244.9</v>
      </c>
      <c r="I53" s="34" t="s">
        <v>57</v>
      </c>
      <c r="J53" s="37"/>
      <c r="K53" s="37"/>
      <c r="L53" s="37"/>
      <c r="M53" s="37"/>
      <c r="N53" s="37"/>
      <c r="O53" s="93"/>
    </row>
    <row r="54" spans="1:15" ht="15.75" customHeight="1">
      <c r="A54" s="39"/>
      <c r="B54" s="93"/>
      <c r="C54" s="13"/>
      <c r="D54" s="243" t="s">
        <v>48</v>
      </c>
      <c r="E54" s="243"/>
      <c r="F54" s="243"/>
      <c r="G54" s="9" t="s">
        <v>53</v>
      </c>
      <c r="H54" s="17">
        <f>4/3*PI()*H4^2*H12</f>
        <v>1.0833197806270636E+21</v>
      </c>
      <c r="I54" s="34" t="s">
        <v>56</v>
      </c>
      <c r="J54" s="243" t="s">
        <v>65</v>
      </c>
      <c r="K54" s="243"/>
      <c r="L54" s="8" t="s">
        <v>64</v>
      </c>
      <c r="M54" s="19">
        <f>24/SIN(M4*PI()/180)</f>
        <v>33.941125496954285</v>
      </c>
      <c r="N54" s="36" t="s">
        <v>18</v>
      </c>
      <c r="O54" s="93"/>
    </row>
    <row r="55" spans="1:16" ht="15.75" customHeight="1">
      <c r="A55" s="39"/>
      <c r="B55" s="93"/>
      <c r="C55" s="13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93"/>
      <c r="P55" s="53"/>
    </row>
    <row r="56" spans="1:16" ht="15.75" customHeight="1">
      <c r="A56" s="39"/>
      <c r="B56" s="93"/>
      <c r="C56" s="13"/>
      <c r="D56" s="13"/>
      <c r="E56" s="13"/>
      <c r="F56" s="13"/>
      <c r="G56" s="13"/>
      <c r="H56" s="13"/>
      <c r="I56" s="72"/>
      <c r="J56" s="254" t="s">
        <v>208</v>
      </c>
      <c r="K56" s="254"/>
      <c r="L56" s="8" t="s">
        <v>67</v>
      </c>
      <c r="M56" s="18">
        <f>(((2*(M31+M8))*M8))^0.5</f>
        <v>0</v>
      </c>
      <c r="N56" s="13" t="s">
        <v>2</v>
      </c>
      <c r="O56" s="93"/>
      <c r="P56" s="53"/>
    </row>
    <row r="57" spans="1:16" ht="15.75" customHeight="1">
      <c r="A57" s="39"/>
      <c r="B57" s="93"/>
      <c r="C57" s="13"/>
      <c r="D57" s="13"/>
      <c r="E57" s="13"/>
      <c r="F57" s="13"/>
      <c r="G57" s="13"/>
      <c r="H57" s="13"/>
      <c r="I57" s="13"/>
      <c r="J57" s="115"/>
      <c r="K57" s="37"/>
      <c r="L57" s="8"/>
      <c r="M57" s="115"/>
      <c r="N57" s="13"/>
      <c r="O57" s="93"/>
      <c r="P57" s="53"/>
    </row>
    <row r="58" spans="1:15" ht="15.75" customHeight="1">
      <c r="A58" s="39"/>
      <c r="B58" s="93"/>
      <c r="C58" s="13"/>
      <c r="D58" s="253" t="s">
        <v>138</v>
      </c>
      <c r="E58" s="253"/>
      <c r="F58" s="37"/>
      <c r="G58" s="252" t="s">
        <v>143</v>
      </c>
      <c r="H58" s="252"/>
      <c r="I58" s="37"/>
      <c r="J58" s="37"/>
      <c r="K58" s="45" t="s">
        <v>143</v>
      </c>
      <c r="L58" s="37"/>
      <c r="M58" s="37"/>
      <c r="N58" s="37"/>
      <c r="O58" s="93"/>
    </row>
    <row r="59" spans="1:15" ht="15.75" customHeight="1">
      <c r="A59" s="39"/>
      <c r="B59" s="93"/>
      <c r="C59" s="13"/>
      <c r="D59" s="244" t="s">
        <v>525</v>
      </c>
      <c r="E59" s="244"/>
      <c r="F59" s="37"/>
      <c r="G59" s="8" t="s">
        <v>141</v>
      </c>
      <c r="H59" s="20">
        <f>H11/H12</f>
        <v>1.003378378378375</v>
      </c>
      <c r="I59" s="13"/>
      <c r="J59" s="41" t="s">
        <v>528</v>
      </c>
      <c r="K59" s="20">
        <f>(H11-H12)/(H11+H12)</f>
        <v>0.0016863406408077304</v>
      </c>
      <c r="L59" s="39"/>
      <c r="M59" s="38" t="s">
        <v>533</v>
      </c>
      <c r="N59" s="39"/>
      <c r="O59" s="93"/>
    </row>
    <row r="60" spans="1:15" ht="15.75" customHeight="1">
      <c r="A60" s="39"/>
      <c r="B60" s="93"/>
      <c r="C60" s="13"/>
      <c r="D60" s="13"/>
      <c r="E60" s="13"/>
      <c r="F60" s="37"/>
      <c r="G60" s="8" t="s">
        <v>142</v>
      </c>
      <c r="H60" s="20">
        <f>H12/H11</f>
        <v>0.9966329966330001</v>
      </c>
      <c r="I60" s="13"/>
      <c r="J60" s="41" t="s">
        <v>529</v>
      </c>
      <c r="K60" s="20">
        <f>(H11^2-H12^2)/(H11^2+H12^2)</f>
        <v>0.003372671690598019</v>
      </c>
      <c r="L60" s="32" t="s">
        <v>40</v>
      </c>
      <c r="M60" s="118" t="str">
        <f>IF(M8=0,"h=0",SQRT(M39^2+M37^2+M38^2))</f>
        <v>h=0</v>
      </c>
      <c r="N60" s="13" t="s">
        <v>2</v>
      </c>
      <c r="O60" s="93"/>
    </row>
    <row r="61" spans="1:15" ht="15.75" customHeight="1">
      <c r="A61" s="39"/>
      <c r="B61" s="93"/>
      <c r="C61" s="13"/>
      <c r="D61" s="244" t="s">
        <v>139</v>
      </c>
      <c r="E61" s="244"/>
      <c r="F61" s="37"/>
      <c r="G61" s="8" t="s">
        <v>144</v>
      </c>
      <c r="H61" s="20">
        <f>H42/H12</f>
        <v>1.0067681701972173</v>
      </c>
      <c r="I61" s="13"/>
      <c r="J61" s="41" t="s">
        <v>526</v>
      </c>
      <c r="K61" s="20">
        <f>SQRT(1-H28)</f>
        <v>0.9966329966330001</v>
      </c>
      <c r="L61" s="31" t="s">
        <v>29</v>
      </c>
      <c r="M61" s="119" t="str">
        <f>IF(M8=0,"h=0",DEGREES(ATAN(M39/SQRT(M37^2+M38^2))))</f>
        <v>h=0</v>
      </c>
      <c r="N61" s="37" t="s">
        <v>16</v>
      </c>
      <c r="O61" s="93"/>
    </row>
    <row r="62" spans="1:16" ht="15.75" customHeight="1">
      <c r="A62" s="39"/>
      <c r="B62" s="93"/>
      <c r="C62" s="13"/>
      <c r="D62" s="13"/>
      <c r="E62" s="13"/>
      <c r="F62" s="37"/>
      <c r="G62" s="38" t="s">
        <v>157</v>
      </c>
      <c r="H62" s="54">
        <f>1-H28</f>
        <v>0.9932773299776735</v>
      </c>
      <c r="I62" s="13"/>
      <c r="J62" s="41" t="s">
        <v>527</v>
      </c>
      <c r="K62" s="20">
        <f>1-H28*SIN(RADIANS(M11))^2</f>
        <v>0.9966386649888368</v>
      </c>
      <c r="L62" s="38" t="s">
        <v>33</v>
      </c>
      <c r="M62" s="118" t="str">
        <f>IF(M8=0,"h=0",(M23+M8)*COS(RADIANS(M4)))</f>
        <v>h=0</v>
      </c>
      <c r="N62" s="13" t="s">
        <v>2</v>
      </c>
      <c r="O62" s="93"/>
      <c r="P62" s="53"/>
    </row>
    <row r="63" spans="1:15" ht="15.75" customHeight="1">
      <c r="A63" s="39"/>
      <c r="B63" s="93"/>
      <c r="C63" s="13"/>
      <c r="D63" s="244" t="s">
        <v>140</v>
      </c>
      <c r="E63" s="244"/>
      <c r="F63" s="37"/>
      <c r="G63" s="38" t="s">
        <v>158</v>
      </c>
      <c r="H63" s="54">
        <f>1+H28</f>
        <v>1.0067226700223264</v>
      </c>
      <c r="I63" s="13"/>
      <c r="J63" s="41" t="s">
        <v>530</v>
      </c>
      <c r="K63" s="20">
        <f>1+H30*COS(RADIANS(M11))^2</f>
        <v>1.0033840850986087</v>
      </c>
      <c r="L63" s="37"/>
      <c r="M63" s="37"/>
      <c r="N63" s="37"/>
      <c r="O63" s="93"/>
    </row>
    <row r="64" spans="1:15" ht="15.75" customHeight="1">
      <c r="A64" s="39"/>
      <c r="B64" s="93"/>
      <c r="C64" s="13"/>
      <c r="D64" s="37"/>
      <c r="E64" s="37"/>
      <c r="F64" s="37"/>
      <c r="G64" s="8"/>
      <c r="H64" s="13"/>
      <c r="I64" s="13"/>
      <c r="J64" s="37"/>
      <c r="K64" s="37"/>
      <c r="L64" s="37"/>
      <c r="M64" s="37"/>
      <c r="N64" s="37"/>
      <c r="O64" s="93"/>
    </row>
    <row r="65" spans="1:15" ht="15.75" customHeight="1">
      <c r="A65" s="39"/>
      <c r="B65" s="93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93"/>
    </row>
    <row r="66" spans="1:14" ht="15.75" customHeight="1">
      <c r="A66" s="39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3:14" ht="15.75" customHeight="1">
      <c r="C67" s="237" t="s">
        <v>209</v>
      </c>
      <c r="D67" s="237"/>
      <c r="E67" s="237"/>
      <c r="F67" s="237"/>
      <c r="G67" s="237"/>
      <c r="H67" s="237"/>
      <c r="I67" s="237"/>
      <c r="J67" s="237"/>
      <c r="K67" s="237"/>
      <c r="L67" s="63"/>
      <c r="M67" s="63"/>
      <c r="N67" s="63"/>
    </row>
    <row r="68" spans="3:14" ht="15.75" customHeight="1"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3:14" ht="15.75" customHeight="1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3:14" ht="15.75" customHeight="1"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5.75" customHeight="1"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3:13" ht="15.75" customHeight="1">
      <c r="C72" s="39"/>
      <c r="D72" s="39"/>
      <c r="E72" s="39"/>
      <c r="F72" s="39"/>
      <c r="G72" s="39"/>
      <c r="I72" s="55"/>
      <c r="K72" s="39"/>
      <c r="L72" s="39"/>
      <c r="M72" s="39"/>
    </row>
    <row r="73" spans="3:13" ht="15.75" customHeight="1">
      <c r="C73" s="237" t="s">
        <v>172</v>
      </c>
      <c r="D73" s="237"/>
      <c r="E73" s="237"/>
      <c r="F73" s="237"/>
      <c r="G73" s="237"/>
      <c r="H73" s="237"/>
      <c r="I73" s="237"/>
      <c r="J73" s="237"/>
      <c r="K73" s="237"/>
      <c r="L73" s="237"/>
      <c r="M73" s="237"/>
    </row>
    <row r="74" spans="3:7" ht="15.75" customHeight="1">
      <c r="C74" s="39"/>
      <c r="D74" s="39"/>
      <c r="E74" s="39"/>
      <c r="F74" s="39"/>
      <c r="G74" s="39"/>
    </row>
    <row r="84" ht="15.75" customHeight="1">
      <c r="M84" s="60"/>
    </row>
    <row r="85" ht="15.75" customHeight="1">
      <c r="M85"/>
    </row>
    <row r="86" ht="15.75" customHeight="1">
      <c r="M86" s="60"/>
    </row>
    <row r="87" ht="15.75" customHeight="1">
      <c r="M87"/>
    </row>
    <row r="88" ht="15.75" customHeight="1">
      <c r="M88" s="60"/>
    </row>
    <row r="89" ht="15.75" customHeight="1">
      <c r="M89"/>
    </row>
    <row r="90" ht="15.75" customHeight="1">
      <c r="M90" s="60"/>
    </row>
    <row r="91" ht="15.75" customHeight="1">
      <c r="M91"/>
    </row>
    <row r="92" ht="15.75" customHeight="1">
      <c r="M92" s="60"/>
    </row>
    <row r="94" spans="3:6" ht="15.75" customHeight="1">
      <c r="C94" s="61" t="s">
        <v>164</v>
      </c>
      <c r="D94" s="239">
        <f>H11/(1+H24)</f>
        <v>6367649.973063985</v>
      </c>
      <c r="E94" s="239"/>
      <c r="F94" s="40" t="s">
        <v>2</v>
      </c>
    </row>
    <row r="95" spans="3:5" ht="15.75" customHeight="1">
      <c r="C95" s="61"/>
      <c r="D95" s="62"/>
      <c r="E95" s="62"/>
    </row>
    <row r="96" spans="3:5" ht="15.75" customHeight="1">
      <c r="C96" s="61" t="s">
        <v>159</v>
      </c>
      <c r="D96" s="239">
        <f>1+H24^2/4+H24^4/64</f>
        <v>1.0000007109363156</v>
      </c>
      <c r="E96" s="239"/>
    </row>
    <row r="97" spans="3:5" ht="15.75" customHeight="1">
      <c r="C97" s="61" t="s">
        <v>160</v>
      </c>
      <c r="D97" s="238">
        <f>3/2*(H24-H24^3/8)</f>
        <v>0.0025295100620511537</v>
      </c>
      <c r="E97" s="238"/>
    </row>
    <row r="98" spans="3:5" ht="15.75" customHeight="1">
      <c r="C98" s="61" t="s">
        <v>161</v>
      </c>
      <c r="D98" s="238">
        <f>15/16*(H24^2-H24^4/4)</f>
        <v>2.666008814173843E-06</v>
      </c>
      <c r="E98" s="238"/>
    </row>
    <row r="99" spans="3:5" ht="15.75" customHeight="1">
      <c r="C99" s="61" t="s">
        <v>162</v>
      </c>
      <c r="D99" s="238">
        <f>35/48*H24^3</f>
        <v>3.496735050916695E-09</v>
      </c>
      <c r="E99" s="238"/>
    </row>
    <row r="100" spans="3:5" ht="15.75" customHeight="1">
      <c r="C100" s="61" t="s">
        <v>163</v>
      </c>
      <c r="D100" s="238">
        <f>315/512*H24^4</f>
        <v>4.975329172357443E-12</v>
      </c>
      <c r="E100" s="238"/>
    </row>
    <row r="102" spans="3:6" ht="15.75" customHeight="1">
      <c r="C102" s="61" t="s">
        <v>166</v>
      </c>
      <c r="D102" s="241">
        <f>SIN(2*(M4*PI()/180))</f>
        <v>1</v>
      </c>
      <c r="E102" s="241"/>
      <c r="F102" s="241"/>
    </row>
    <row r="103" spans="3:6" ht="15.75" customHeight="1">
      <c r="C103" s="61" t="s">
        <v>167</v>
      </c>
      <c r="D103" s="241">
        <f>SIN(4*(M4*PI()/180))</f>
        <v>1.22514845490862E-16</v>
      </c>
      <c r="E103" s="241"/>
      <c r="F103" s="241"/>
    </row>
    <row r="104" spans="3:6" ht="15.75" customHeight="1">
      <c r="C104" s="61" t="s">
        <v>168</v>
      </c>
      <c r="D104" s="241">
        <f>SIN(6*(M4*PI()/180))</f>
        <v>-1</v>
      </c>
      <c r="E104" s="241"/>
      <c r="F104" s="241"/>
    </row>
    <row r="105" spans="3:6" ht="15.75" customHeight="1">
      <c r="C105" s="61" t="s">
        <v>169</v>
      </c>
      <c r="D105" s="241">
        <f>SIN(8*(M4*PI()/180))</f>
        <v>-2.45029690981724E-16</v>
      </c>
      <c r="E105" s="241"/>
      <c r="F105" s="241"/>
    </row>
    <row r="107" spans="3:6" ht="15.75" customHeight="1">
      <c r="C107" s="40" t="s">
        <v>165</v>
      </c>
      <c r="D107" s="240">
        <f>D94*(D96*(M4*PI()/180)-D97*D102+D98*D103-D99*D104+D100*D105)</f>
        <v>4985037.137082232</v>
      </c>
      <c r="E107" s="240"/>
      <c r="F107" s="40" t="s">
        <v>2</v>
      </c>
    </row>
    <row r="110" spans="3:16" ht="15.75" customHeight="1">
      <c r="C110" s="236" t="s">
        <v>210</v>
      </c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</row>
  </sheetData>
  <sheetProtection password="CE90" sheet="1"/>
  <mergeCells count="90">
    <mergeCell ref="C73:M73"/>
    <mergeCell ref="J37:K37"/>
    <mergeCell ref="J32:K32"/>
    <mergeCell ref="D102:F102"/>
    <mergeCell ref="D53:F53"/>
    <mergeCell ref="D54:F54"/>
    <mergeCell ref="J54:K54"/>
    <mergeCell ref="D58:E58"/>
    <mergeCell ref="J56:K56"/>
    <mergeCell ref="D63:E63"/>
    <mergeCell ref="G58:H58"/>
    <mergeCell ref="J27:K27"/>
    <mergeCell ref="J25:K25"/>
    <mergeCell ref="J23:K23"/>
    <mergeCell ref="J26:K26"/>
    <mergeCell ref="J52:K52"/>
    <mergeCell ref="J38:K38"/>
    <mergeCell ref="J35:K35"/>
    <mergeCell ref="J44:K44"/>
    <mergeCell ref="J41:K41"/>
    <mergeCell ref="D28:F28"/>
    <mergeCell ref="D35:F35"/>
    <mergeCell ref="D29:F29"/>
    <mergeCell ref="D30:F30"/>
    <mergeCell ref="J42:K42"/>
    <mergeCell ref="J28:K28"/>
    <mergeCell ref="J29:K29"/>
    <mergeCell ref="J31:K31"/>
    <mergeCell ref="J33:K33"/>
    <mergeCell ref="D50:F50"/>
    <mergeCell ref="D31:F31"/>
    <mergeCell ref="D33:F33"/>
    <mergeCell ref="D32:F32"/>
    <mergeCell ref="D47:F47"/>
    <mergeCell ref="D45:F45"/>
    <mergeCell ref="D44:F44"/>
    <mergeCell ref="D46:F46"/>
    <mergeCell ref="J22:K22"/>
    <mergeCell ref="D20:F20"/>
    <mergeCell ref="D21:F21"/>
    <mergeCell ref="D51:F51"/>
    <mergeCell ref="D39:F39"/>
    <mergeCell ref="D36:F36"/>
    <mergeCell ref="D37:F37"/>
    <mergeCell ref="D41:F41"/>
    <mergeCell ref="D49:F49"/>
    <mergeCell ref="D42:F42"/>
    <mergeCell ref="D23:F23"/>
    <mergeCell ref="D22:F22"/>
    <mergeCell ref="D15:F15"/>
    <mergeCell ref="D27:F27"/>
    <mergeCell ref="D24:F24"/>
    <mergeCell ref="D25:F25"/>
    <mergeCell ref="D17:F17"/>
    <mergeCell ref="J16:K16"/>
    <mergeCell ref="D11:F11"/>
    <mergeCell ref="D12:F12"/>
    <mergeCell ref="D14:F14"/>
    <mergeCell ref="J13:K13"/>
    <mergeCell ref="J15:K15"/>
    <mergeCell ref="S4:V4"/>
    <mergeCell ref="J46:K46"/>
    <mergeCell ref="J47:K47"/>
    <mergeCell ref="J48:K48"/>
    <mergeCell ref="J20:K20"/>
    <mergeCell ref="J18:K18"/>
    <mergeCell ref="J19:K19"/>
    <mergeCell ref="J11:K11"/>
    <mergeCell ref="J12:K12"/>
    <mergeCell ref="J39:K39"/>
    <mergeCell ref="D104:F104"/>
    <mergeCell ref="D105:F105"/>
    <mergeCell ref="P2:R2"/>
    <mergeCell ref="J50:K50"/>
    <mergeCell ref="J51:K51"/>
    <mergeCell ref="D59:E59"/>
    <mergeCell ref="D61:E61"/>
    <mergeCell ref="J34:K34"/>
    <mergeCell ref="C2:N2"/>
    <mergeCell ref="D18:F18"/>
    <mergeCell ref="C110:P110"/>
    <mergeCell ref="C67:K67"/>
    <mergeCell ref="D100:E100"/>
    <mergeCell ref="D94:E94"/>
    <mergeCell ref="D107:E107"/>
    <mergeCell ref="D96:E96"/>
    <mergeCell ref="D97:E97"/>
    <mergeCell ref="D98:E98"/>
    <mergeCell ref="D99:E99"/>
    <mergeCell ref="D103:F103"/>
  </mergeCells>
  <hyperlinks>
    <hyperlink ref="D49:F49" location="'Ellipsoid Geometry'!C67" display="quadrante meridiano*"/>
    <hyperlink ref="J41:K41" location="'Ellipsoid Geometry'!C73" display="distanza dall'equatore**"/>
    <hyperlink ref="J56:K56" location="'Ellipsoid Geometry'!C110" display="raggio orizzonte geometrico***"/>
    <hyperlink ref="A2" location="INDEX!A1" display="◄"/>
  </hyperlinks>
  <printOptions/>
  <pageMargins left="0.75" right="0.75" top="1" bottom="1" header="0.5" footer="0.5"/>
  <pageSetup horizontalDpi="300" verticalDpi="300" orientation="landscape" paperSize="9" r:id="rId2"/>
  <ignoredErrors>
    <ignoredError sqref="H30 H24 H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A2" sqref="A2"/>
    </sheetView>
  </sheetViews>
  <sheetFormatPr defaultColWidth="9.140625" defaultRowHeight="15.75" customHeight="1"/>
  <cols>
    <col min="1" max="1" width="10.7109375" style="40" customWidth="1"/>
    <col min="2" max="12" width="13.7109375" style="40" customWidth="1"/>
    <col min="13" max="16384" width="9.140625" style="40" customWidth="1"/>
  </cols>
  <sheetData>
    <row r="1" spans="1:13" ht="15.75" customHeight="1">
      <c r="A1" s="37"/>
      <c r="B1" s="37"/>
      <c r="C1" s="257" t="s">
        <v>114</v>
      </c>
      <c r="D1" s="257"/>
      <c r="E1" s="37"/>
      <c r="F1" s="252" t="s">
        <v>112</v>
      </c>
      <c r="G1" s="252"/>
      <c r="H1" s="37"/>
      <c r="I1" s="255" t="s">
        <v>113</v>
      </c>
      <c r="J1" s="255"/>
      <c r="K1" s="37"/>
      <c r="L1" s="37"/>
      <c r="M1" s="39"/>
    </row>
    <row r="2" spans="1:13" ht="15.75" customHeight="1">
      <c r="A2" s="86" t="s">
        <v>294</v>
      </c>
      <c r="B2" s="38" t="s">
        <v>104</v>
      </c>
      <c r="C2" s="258">
        <f>'Ellipsoid Geometry'!H4</f>
        <v>6378388</v>
      </c>
      <c r="D2" s="258"/>
      <c r="F2" s="259">
        <f>'Ellipsoid Geometry'!H6</f>
        <v>0.003367003367</v>
      </c>
      <c r="G2" s="259"/>
      <c r="I2" s="256">
        <f>'Ellipsoid Geometry'!H28</f>
        <v>0.006722670022326506</v>
      </c>
      <c r="J2" s="256"/>
      <c r="L2" s="37"/>
      <c r="M2" s="39"/>
    </row>
    <row r="3" spans="1:13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9"/>
    </row>
    <row r="4" spans="1:13" ht="15.75" customHeight="1">
      <c r="A4" s="41" t="s">
        <v>105</v>
      </c>
      <c r="B4" s="111" t="s">
        <v>33</v>
      </c>
      <c r="C4" s="112" t="s">
        <v>0</v>
      </c>
      <c r="D4" s="104" t="s">
        <v>34</v>
      </c>
      <c r="E4" s="104" t="s">
        <v>33</v>
      </c>
      <c r="F4" s="112" t="s">
        <v>45</v>
      </c>
      <c r="G4" s="113" t="s">
        <v>106</v>
      </c>
      <c r="H4" s="113" t="s">
        <v>107</v>
      </c>
      <c r="I4" s="113" t="s">
        <v>108</v>
      </c>
      <c r="J4" s="113" t="s">
        <v>109</v>
      </c>
      <c r="K4" s="113" t="s">
        <v>110</v>
      </c>
      <c r="L4" s="113" t="s">
        <v>111</v>
      </c>
      <c r="M4" s="39"/>
    </row>
    <row r="5" spans="1:13" ht="15.75" customHeight="1">
      <c r="A5" s="41">
        <v>0</v>
      </c>
      <c r="B5" s="56">
        <f>C2*(1-I2)/(1-I2*(SIN(A5*PI()/180))^2)^1.5</f>
        <v>6335508.202201633</v>
      </c>
      <c r="C5" s="44">
        <f>C2/(1-I2*(SIN(A5*PI()/180))^2)^0.5</f>
        <v>6378388</v>
      </c>
      <c r="D5" s="44">
        <f>(B5*C5)^0.5</f>
        <v>6356911.946127968</v>
      </c>
      <c r="E5" s="44">
        <f>C5*COS(A5*PI()/180)</f>
        <v>6378388</v>
      </c>
      <c r="F5" s="44">
        <f aca="true" t="shared" si="0" ref="F5:F29">2*PI()*E5</f>
        <v>40076593.765090585</v>
      </c>
      <c r="G5" s="44">
        <f>B5*PI()/180</f>
        <v>110575.47791552515</v>
      </c>
      <c r="H5" s="44">
        <f aca="true" t="shared" si="1" ref="H5:H29">G5/60</f>
        <v>1842.9246319254191</v>
      </c>
      <c r="I5" s="44">
        <f aca="true" t="shared" si="2" ref="I5:I29">H5/60</f>
        <v>30.71541053209032</v>
      </c>
      <c r="J5" s="44">
        <f>F5/360</f>
        <v>111323.87156969607</v>
      </c>
      <c r="K5" s="44">
        <f aca="true" t="shared" si="3" ref="K5:L29">J5/60</f>
        <v>1855.3978594949344</v>
      </c>
      <c r="L5" s="44">
        <f t="shared" si="3"/>
        <v>30.923297658248906</v>
      </c>
      <c r="M5" s="39" t="s">
        <v>2</v>
      </c>
    </row>
    <row r="6" spans="1:13" ht="15.75" customHeight="1">
      <c r="A6" s="45">
        <v>1</v>
      </c>
      <c r="B6" s="57">
        <f>C2*(1-I2)/(1-I2*(SIN(A6*PI()/180))^2)^1.5</f>
        <v>6335527.661458895</v>
      </c>
      <c r="C6" s="47">
        <f>C2/(1-I2*(SIN(A6*PI()/180))^2)^0.5</f>
        <v>6378394.53031359</v>
      </c>
      <c r="D6" s="47">
        <f aca="true" t="shared" si="4" ref="D6:D29">(B6*C6)^0.5</f>
        <v>6356924.962786634</v>
      </c>
      <c r="E6" s="47">
        <f aca="true" t="shared" si="5" ref="E6:E29">C6*COS(A6*PI()/180)</f>
        <v>6377423.069932176</v>
      </c>
      <c r="F6" s="47">
        <f t="shared" si="0"/>
        <v>40070530.93066598</v>
      </c>
      <c r="G6" s="47">
        <f aca="true" t="shared" si="6" ref="G6:G29">B6*PI()/180</f>
        <v>110575.81754363436</v>
      </c>
      <c r="H6" s="47">
        <f t="shared" si="1"/>
        <v>1842.930292393906</v>
      </c>
      <c r="I6" s="47">
        <f t="shared" si="2"/>
        <v>30.71550487323177</v>
      </c>
      <c r="J6" s="47">
        <f aca="true" t="shared" si="7" ref="J6:J29">F6/360</f>
        <v>111307.03036296104</v>
      </c>
      <c r="K6" s="47">
        <f t="shared" si="3"/>
        <v>1855.1171727160174</v>
      </c>
      <c r="L6" s="47">
        <f t="shared" si="3"/>
        <v>30.918619545266957</v>
      </c>
      <c r="M6" s="39"/>
    </row>
    <row r="7" spans="1:12" ht="15.75" customHeight="1">
      <c r="A7" s="45">
        <f>A6+1</f>
        <v>2</v>
      </c>
      <c r="B7" s="58">
        <f>C2*(1-I2)/(1-I2*(SIN(A7*PI()/180))^2)^1.5</f>
        <v>6335586.01611984</v>
      </c>
      <c r="C7" s="44">
        <f>C2/(1-I2*(SIN(A7*PI()/180))^2)^0.5</f>
        <v>6378414.113418439</v>
      </c>
      <c r="D7" s="44">
        <f t="shared" si="4"/>
        <v>6356963.997223461</v>
      </c>
      <c r="E7" s="44">
        <f t="shared" si="5"/>
        <v>6374528.555879527</v>
      </c>
      <c r="F7" s="44">
        <f t="shared" si="0"/>
        <v>40052344.16249895</v>
      </c>
      <c r="G7" s="44">
        <f t="shared" si="6"/>
        <v>110576.83602460174</v>
      </c>
      <c r="H7" s="44">
        <f t="shared" si="1"/>
        <v>1842.9472670766957</v>
      </c>
      <c r="I7" s="44">
        <f t="shared" si="2"/>
        <v>30.715787784611596</v>
      </c>
      <c r="J7" s="44">
        <f t="shared" si="7"/>
        <v>111256.5115624971</v>
      </c>
      <c r="K7" s="44">
        <f t="shared" si="3"/>
        <v>1854.275192708285</v>
      </c>
      <c r="L7" s="44">
        <f t="shared" si="3"/>
        <v>30.904586545138084</v>
      </c>
    </row>
    <row r="8" spans="1:12" ht="15.75" customHeight="1">
      <c r="A8" s="45">
        <f aca="true" t="shared" si="8" ref="A8:A71">A7+1</f>
        <v>3</v>
      </c>
      <c r="B8" s="59">
        <f>C2*(1-I2)/(1-I2*(SIN(A8*PI()/180))^2)^1.5</f>
        <v>6335683.196877219</v>
      </c>
      <c r="C8" s="47">
        <f>C2/(1-I2*(SIN(A8*PI()/180))^2)^0.5</f>
        <v>6378446.725815754</v>
      </c>
      <c r="D8" s="47">
        <f t="shared" si="4"/>
        <v>6357029.002838306</v>
      </c>
      <c r="E8" s="47">
        <f t="shared" si="5"/>
        <v>6369705.286258222</v>
      </c>
      <c r="F8" s="47">
        <f t="shared" si="0"/>
        <v>40022038.6656818</v>
      </c>
      <c r="G8" s="47">
        <f t="shared" si="6"/>
        <v>110578.53214878759</v>
      </c>
      <c r="H8" s="47">
        <f t="shared" si="1"/>
        <v>1842.9755358131265</v>
      </c>
      <c r="I8" s="47">
        <f t="shared" si="2"/>
        <v>30.716258930218775</v>
      </c>
      <c r="J8" s="47">
        <f t="shared" si="7"/>
        <v>111172.32962689389</v>
      </c>
      <c r="K8" s="47">
        <f t="shared" si="3"/>
        <v>1852.8721604482314</v>
      </c>
      <c r="L8" s="47">
        <f t="shared" si="3"/>
        <v>30.88120267413719</v>
      </c>
    </row>
    <row r="9" spans="1:12" ht="15.75" customHeight="1">
      <c r="A9" s="45">
        <f t="shared" si="8"/>
        <v>4</v>
      </c>
      <c r="B9" s="58">
        <f>C2*(1-I2)/(1-I2*(SIN(A9*PI()/180))^2)^1.5</f>
        <v>6335819.088303243</v>
      </c>
      <c r="C9" s="44">
        <f>C2/(1-I2*(SIN(A9*PI()/180))^2)^0.5</f>
        <v>6378492.328370758</v>
      </c>
      <c r="D9" s="44">
        <f t="shared" si="4"/>
        <v>6357119.90202224</v>
      </c>
      <c r="E9" s="44">
        <f t="shared" si="5"/>
        <v>6362954.641640751</v>
      </c>
      <c r="F9" s="44">
        <f t="shared" si="0"/>
        <v>39979623.11460731</v>
      </c>
      <c r="G9" s="44">
        <f t="shared" si="6"/>
        <v>110580.90390159693</v>
      </c>
      <c r="H9" s="44">
        <f t="shared" si="1"/>
        <v>1843.0150650266155</v>
      </c>
      <c r="I9" s="44">
        <f t="shared" si="2"/>
        <v>30.716917750443592</v>
      </c>
      <c r="J9" s="44">
        <f t="shared" si="7"/>
        <v>111054.50865168698</v>
      </c>
      <c r="K9" s="44">
        <f t="shared" si="3"/>
        <v>1850.9084775281162</v>
      </c>
      <c r="L9" s="44">
        <f t="shared" si="3"/>
        <v>30.848474625468604</v>
      </c>
    </row>
    <row r="10" spans="1:12" ht="15.75" customHeight="1">
      <c r="A10" s="45">
        <f t="shared" si="8"/>
        <v>5</v>
      </c>
      <c r="B10" s="59">
        <f>C2*(1-I2)/(1-I2*(SIN(A10*PI()/180))^2)^1.5</f>
        <v>6335993.528975933</v>
      </c>
      <c r="C10" s="47">
        <f>C2/(1-I2*(SIN(A10*PI()/180))^2)^0.5</f>
        <v>6378550.8663574895</v>
      </c>
      <c r="D10" s="47">
        <f t="shared" si="4"/>
        <v>6357236.586244442</v>
      </c>
      <c r="E10" s="47">
        <f t="shared" si="5"/>
        <v>6354278.554573841</v>
      </c>
      <c r="F10" s="47">
        <f t="shared" si="0"/>
        <v>39925109.6518247</v>
      </c>
      <c r="G10" s="47">
        <f t="shared" si="6"/>
        <v>110583.94846568476</v>
      </c>
      <c r="H10" s="47">
        <f t="shared" si="1"/>
        <v>1843.0658077614128</v>
      </c>
      <c r="I10" s="47">
        <f t="shared" si="2"/>
        <v>30.71776346269021</v>
      </c>
      <c r="J10" s="47">
        <f t="shared" si="7"/>
        <v>110903.08236617972</v>
      </c>
      <c r="K10" s="47">
        <f t="shared" si="3"/>
        <v>1848.3847061029953</v>
      </c>
      <c r="L10" s="47">
        <f t="shared" si="3"/>
        <v>30.806411768383256</v>
      </c>
    </row>
    <row r="11" spans="1:12" ht="15.75" customHeight="1">
      <c r="A11" s="45">
        <f t="shared" si="8"/>
        <v>6</v>
      </c>
      <c r="B11" s="58">
        <f>C2*(1-I2)/(1-I2*(SIN(A11*PI()/180))^2)^1.5</f>
        <v>6336206.311655916</v>
      </c>
      <c r="C11" s="44">
        <f>C2/(1-I2*(SIN(A11*PI()/180))^2)^0.5</f>
        <v>6378622.269521455</v>
      </c>
      <c r="D11" s="44">
        <f t="shared" si="4"/>
        <v>6357378.916173774</v>
      </c>
      <c r="E11" s="44">
        <f t="shared" si="5"/>
        <v>6343679.509322755</v>
      </c>
      <c r="F11" s="44">
        <f t="shared" si="0"/>
        <v>39858513.88643294</v>
      </c>
      <c r="G11" s="44">
        <f t="shared" si="6"/>
        <v>110587.66222404169</v>
      </c>
      <c r="H11" s="44">
        <f t="shared" si="1"/>
        <v>1843.1277037340283</v>
      </c>
      <c r="I11" s="44">
        <f t="shared" si="2"/>
        <v>30.718795062233806</v>
      </c>
      <c r="J11" s="44">
        <f t="shared" si="7"/>
        <v>110718.09412898039</v>
      </c>
      <c r="K11" s="44">
        <f t="shared" si="3"/>
        <v>1845.3015688163398</v>
      </c>
      <c r="L11" s="44">
        <f t="shared" si="3"/>
        <v>30.755026146938995</v>
      </c>
    </row>
    <row r="12" spans="1:12" ht="15.75" customHeight="1">
      <c r="A12" s="45">
        <f t="shared" si="8"/>
        <v>7</v>
      </c>
      <c r="B12" s="59">
        <f>C2*(1-I2)/(1-I2*(SIN(A12*PI()/180))^2)^1.5</f>
        <v>6336457.183513508</v>
      </c>
      <c r="C12" s="47">
        <f>C2/(1-I2*(SIN(A12*PI()/180))^2)^0.5</f>
        <v>6378706.452160091</v>
      </c>
      <c r="D12" s="47">
        <f t="shared" si="4"/>
        <v>6357546.721834907</v>
      </c>
      <c r="E12" s="47">
        <f t="shared" si="5"/>
        <v>6331160.5415411685</v>
      </c>
      <c r="F12" s="47">
        <f t="shared" si="0"/>
        <v>39779854.89200662</v>
      </c>
      <c r="G12" s="47">
        <f t="shared" si="6"/>
        <v>110592.04076395728</v>
      </c>
      <c r="H12" s="47">
        <f t="shared" si="1"/>
        <v>1843.200679399288</v>
      </c>
      <c r="I12" s="47">
        <f t="shared" si="2"/>
        <v>30.720011323321465</v>
      </c>
      <c r="J12" s="47">
        <f t="shared" si="7"/>
        <v>110499.59692224061</v>
      </c>
      <c r="K12" s="47">
        <f t="shared" si="3"/>
        <v>1841.6599487040103</v>
      </c>
      <c r="L12" s="47">
        <f t="shared" si="3"/>
        <v>30.69433247840017</v>
      </c>
    </row>
    <row r="13" spans="1:12" ht="15.75" customHeight="1">
      <c r="A13" s="45">
        <f t="shared" si="8"/>
        <v>8</v>
      </c>
      <c r="B13" s="58">
        <f>C2*(1-I2)/(1-L2*(SIN(A13*PI()/180))^2)^1.5</f>
        <v>6335508.202201633</v>
      </c>
      <c r="C13" s="44">
        <f>C2/(1-I2*(SIN(A13*PI()/180))^2)^0.5</f>
        <v>6378803.313220948</v>
      </c>
      <c r="D13" s="44">
        <f t="shared" si="4"/>
        <v>6357118.900189162</v>
      </c>
      <c r="E13" s="44">
        <f t="shared" si="5"/>
        <v>6316725.237865639</v>
      </c>
      <c r="F13" s="44">
        <f t="shared" si="0"/>
        <v>39689155.20404786</v>
      </c>
      <c r="G13" s="44">
        <f t="shared" si="6"/>
        <v>110575.47791552515</v>
      </c>
      <c r="H13" s="44">
        <f t="shared" si="1"/>
        <v>1842.9246319254191</v>
      </c>
      <c r="I13" s="44">
        <f t="shared" si="2"/>
        <v>30.71541053209032</v>
      </c>
      <c r="J13" s="44">
        <f t="shared" si="7"/>
        <v>110247.65334457738</v>
      </c>
      <c r="K13" s="44">
        <f t="shared" si="3"/>
        <v>1837.4608890762897</v>
      </c>
      <c r="L13" s="44">
        <f t="shared" si="3"/>
        <v>30.624348151271494</v>
      </c>
    </row>
    <row r="14" spans="1:12" ht="15.75" customHeight="1">
      <c r="A14" s="45">
        <f t="shared" si="8"/>
        <v>9</v>
      </c>
      <c r="B14" s="59">
        <f>C2*(1-I2)/(1-I2*(SIN(A14*PI()/180))^2)^1.5</f>
        <v>6337071.957204599</v>
      </c>
      <c r="C14" s="47">
        <f>C2/(1-I2*(SIN(A14*PI()/180))^2)^0.5</f>
        <v>6378912.7364175245</v>
      </c>
      <c r="D14" s="47">
        <f t="shared" si="4"/>
        <v>6357957.928408047</v>
      </c>
      <c r="E14" s="47">
        <f t="shared" si="5"/>
        <v>6300377.735433415</v>
      </c>
      <c r="F14" s="47">
        <f t="shared" si="0"/>
        <v>39586440.816956624</v>
      </c>
      <c r="G14" s="47">
        <f t="shared" si="6"/>
        <v>110602.77058902144</v>
      </c>
      <c r="H14" s="47">
        <f t="shared" si="1"/>
        <v>1843.379509817024</v>
      </c>
      <c r="I14" s="47">
        <f t="shared" si="2"/>
        <v>30.722991830283732</v>
      </c>
      <c r="J14" s="47">
        <f t="shared" si="7"/>
        <v>109962.33560265729</v>
      </c>
      <c r="K14" s="47">
        <f t="shared" si="3"/>
        <v>1832.7055933776214</v>
      </c>
      <c r="L14" s="47">
        <f t="shared" si="3"/>
        <v>30.545093222960357</v>
      </c>
    </row>
    <row r="15" spans="1:13" ht="15.75" customHeight="1">
      <c r="A15" s="45">
        <f t="shared" si="8"/>
        <v>10</v>
      </c>
      <c r="B15" s="58">
        <f>C2*(1-I2)/(1-I2*(SIN(A15*PI()/180))^2)^1.5</f>
        <v>6337435.12817183</v>
      </c>
      <c r="C15" s="44">
        <f>C2/(1-I2*(SIN(A15*PI()/180))^2)^0.5</f>
        <v>6379034.590362625</v>
      </c>
      <c r="D15" s="44">
        <f t="shared" si="4"/>
        <v>6358200.838034868</v>
      </c>
      <c r="E15" s="44">
        <f t="shared" si="5"/>
        <v>6282122.721322168</v>
      </c>
      <c r="F15" s="44">
        <f t="shared" si="0"/>
        <v>39471741.18051048</v>
      </c>
      <c r="G15" s="44">
        <f t="shared" si="6"/>
        <v>110609.10911814727</v>
      </c>
      <c r="H15" s="44">
        <f t="shared" si="1"/>
        <v>1843.4851519691213</v>
      </c>
      <c r="I15" s="44">
        <f t="shared" si="2"/>
        <v>30.724752532818687</v>
      </c>
      <c r="J15" s="44">
        <f t="shared" si="7"/>
        <v>109643.72550141801</v>
      </c>
      <c r="K15" s="44">
        <f t="shared" si="3"/>
        <v>1827.3954250236336</v>
      </c>
      <c r="L15" s="44">
        <f t="shared" si="3"/>
        <v>30.45659041706056</v>
      </c>
      <c r="M15" s="40" t="s">
        <v>2</v>
      </c>
    </row>
    <row r="16" spans="1:12" ht="15.75" customHeight="1">
      <c r="A16" s="45">
        <f t="shared" si="8"/>
        <v>11</v>
      </c>
      <c r="B16" s="59">
        <f>C2*(1-I2)/(1-I2*(SIN(A16*PI()/180))^2)^1.5</f>
        <v>6337834.9273874145</v>
      </c>
      <c r="C16" s="47">
        <f>C2/(1-I2*(SIN(A16*PI()/180))^2)^0.5</f>
        <v>6379168.728719136</v>
      </c>
      <c r="D16" s="47">
        <f t="shared" si="4"/>
        <v>6358468.241374939</v>
      </c>
      <c r="E16" s="47">
        <f t="shared" si="5"/>
        <v>6261965.43190998</v>
      </c>
      <c r="F16" s="47">
        <f t="shared" si="0"/>
        <v>39345089.19584326</v>
      </c>
      <c r="G16" s="47">
        <f t="shared" si="6"/>
        <v>110616.08693080612</v>
      </c>
      <c r="H16" s="47">
        <f t="shared" si="1"/>
        <v>1843.6014488467688</v>
      </c>
      <c r="I16" s="47">
        <f t="shared" si="2"/>
        <v>30.726690814112814</v>
      </c>
      <c r="J16" s="47">
        <f t="shared" si="7"/>
        <v>109291.91443289793</v>
      </c>
      <c r="K16" s="47">
        <f t="shared" si="3"/>
        <v>1821.5319072149655</v>
      </c>
      <c r="L16" s="47">
        <f t="shared" si="3"/>
        <v>30.358865120249426</v>
      </c>
    </row>
    <row r="17" spans="1:12" ht="15.75" customHeight="1">
      <c r="A17" s="45">
        <f t="shared" si="8"/>
        <v>12</v>
      </c>
      <c r="B17" s="58">
        <f>C2*(1-I2)/(1-I2*(SIN(A17*PI()/180))^2)^1.5</f>
        <v>6338270.879224043</v>
      </c>
      <c r="C17" s="44">
        <f>C2/(1-I2*(SIN(A17*PI()/180))^2)^0.5</f>
        <v>6379314.990368066</v>
      </c>
      <c r="D17" s="44">
        <f t="shared" si="4"/>
        <v>6358759.818773416</v>
      </c>
      <c r="E17" s="44">
        <f t="shared" si="5"/>
        <v>6239911.652153725</v>
      </c>
      <c r="F17" s="44">
        <f t="shared" si="0"/>
        <v>39206521.21091098</v>
      </c>
      <c r="G17" s="44">
        <f t="shared" si="6"/>
        <v>110623.69572573541</v>
      </c>
      <c r="H17" s="44">
        <f t="shared" si="1"/>
        <v>1843.72826209559</v>
      </c>
      <c r="I17" s="44">
        <f t="shared" si="2"/>
        <v>30.728804368259834</v>
      </c>
      <c r="J17" s="44">
        <f t="shared" si="7"/>
        <v>108907.00336364162</v>
      </c>
      <c r="K17" s="44">
        <f t="shared" si="3"/>
        <v>1815.1167227273604</v>
      </c>
      <c r="L17" s="44">
        <f t="shared" si="3"/>
        <v>30.25194537878934</v>
      </c>
    </row>
    <row r="18" spans="1:12" ht="15.75" customHeight="1">
      <c r="A18" s="45">
        <f t="shared" si="8"/>
        <v>13</v>
      </c>
      <c r="B18" s="59">
        <f>C2*(1-I2)/(1-I2*(SIN(A18*PI()/180))^2)^1.5</f>
        <v>6338742.464871669</v>
      </c>
      <c r="C18" s="47">
        <f>C2/(1-I2*(SIN(A18*PI()/180))^2)^0.5</f>
        <v>6379473.199593711</v>
      </c>
      <c r="D18" s="47">
        <f t="shared" si="4"/>
        <v>6359075.221584927</v>
      </c>
      <c r="E18" s="47">
        <f t="shared" si="5"/>
        <v>6215967.714783796</v>
      </c>
      <c r="F18" s="47">
        <f t="shared" si="0"/>
        <v>39056077.015432216</v>
      </c>
      <c r="G18" s="47">
        <f t="shared" si="6"/>
        <v>110631.92644799163</v>
      </c>
      <c r="H18" s="47">
        <f t="shared" si="1"/>
        <v>1843.8654407998606</v>
      </c>
      <c r="I18" s="47">
        <f t="shared" si="2"/>
        <v>30.731090679997678</v>
      </c>
      <c r="J18" s="47">
        <f t="shared" si="7"/>
        <v>108489.10282064504</v>
      </c>
      <c r="K18" s="47">
        <f t="shared" si="3"/>
        <v>1808.1517136774173</v>
      </c>
      <c r="L18" s="47">
        <f t="shared" si="3"/>
        <v>30.135861894623623</v>
      </c>
    </row>
    <row r="19" spans="1:12" ht="15.75" customHeight="1">
      <c r="A19" s="45">
        <f t="shared" si="8"/>
        <v>14</v>
      </c>
      <c r="B19" s="58">
        <f>C2*(1-I2)/(1-I2*(SIN(A19*PI()/180))^2)^1.5</f>
        <v>6339249.122910297</v>
      </c>
      <c r="C19" s="44">
        <f>C2/(1-I2*(SIN(A19*PI()/180))^2)^0.5</f>
        <v>6379643.1662857495</v>
      </c>
      <c r="D19" s="44">
        <f t="shared" si="4"/>
        <v>6359414.0725665605</v>
      </c>
      <c r="E19" s="44">
        <f t="shared" si="5"/>
        <v>6190140.499412929</v>
      </c>
      <c r="F19" s="44">
        <f t="shared" si="0"/>
        <v>38893799.83528862</v>
      </c>
      <c r="G19" s="44">
        <f t="shared" si="6"/>
        <v>110640.76929894737</v>
      </c>
      <c r="H19" s="44">
        <f t="shared" si="1"/>
        <v>1844.0128216491228</v>
      </c>
      <c r="I19" s="44">
        <f t="shared" si="2"/>
        <v>30.73354702748538</v>
      </c>
      <c r="J19" s="44">
        <f t="shared" si="7"/>
        <v>108038.33287580173</v>
      </c>
      <c r="K19" s="44">
        <f t="shared" si="3"/>
        <v>1800.6388812633622</v>
      </c>
      <c r="L19" s="44">
        <f t="shared" si="3"/>
        <v>30.01064802105604</v>
      </c>
    </row>
    <row r="20" spans="1:12" ht="15.75" customHeight="1">
      <c r="A20" s="45">
        <f t="shared" si="8"/>
        <v>15</v>
      </c>
      <c r="B20" s="59">
        <f>C2*(1-I2)/(1-I2*(SIN(A20*PI()/180))^2)^1.5</f>
        <v>6339790.249930778</v>
      </c>
      <c r="C20" s="47">
        <f>C2/(1-I2*(SIN(A20*PI()/180))^2)^0.5</f>
        <v>6379824.686158106</v>
      </c>
      <c r="D20" s="47">
        <f t="shared" si="4"/>
        <v>6359775.966303596</v>
      </c>
      <c r="E20" s="47">
        <f t="shared" si="5"/>
        <v>6162437.431556664</v>
      </c>
      <c r="F20" s="47">
        <f t="shared" si="0"/>
        <v>38719736.32637034</v>
      </c>
      <c r="G20" s="47">
        <f t="shared" si="6"/>
        <v>110650.21374712628</v>
      </c>
      <c r="H20" s="47">
        <f t="shared" si="1"/>
        <v>1844.1702291187714</v>
      </c>
      <c r="I20" s="47">
        <f t="shared" si="2"/>
        <v>30.736170485312858</v>
      </c>
      <c r="J20" s="47">
        <f t="shared" si="7"/>
        <v>107554.82312880651</v>
      </c>
      <c r="K20" s="47">
        <f t="shared" si="3"/>
        <v>1792.5803854801086</v>
      </c>
      <c r="L20" s="47">
        <f t="shared" si="3"/>
        <v>29.87633975800181</v>
      </c>
    </row>
    <row r="21" spans="1:12" ht="15.75" customHeight="1">
      <c r="A21" s="45">
        <f t="shared" si="8"/>
        <v>16</v>
      </c>
      <c r="B21" s="58">
        <f>C2*(1-I2)/(1-I2*(SIN(A21*PI()/180))^2)^1.5</f>
        <v>6340365.201203189</v>
      </c>
      <c r="C21" s="44">
        <f>C2/(1-I2*(SIN(A21*PI()/180))^2)^0.5</f>
        <v>6380017.5409843465</v>
      </c>
      <c r="D21" s="44">
        <f t="shared" si="4"/>
        <v>6360160.469667655</v>
      </c>
      <c r="E21" s="44">
        <f t="shared" si="5"/>
        <v>6132866.481562836</v>
      </c>
      <c r="F21" s="44">
        <f t="shared" si="0"/>
        <v>38533936.56784978</v>
      </c>
      <c r="G21" s="44">
        <f t="shared" si="6"/>
        <v>110660.2485398684</v>
      </c>
      <c r="H21" s="44">
        <f t="shared" si="1"/>
        <v>1844.3374756644732</v>
      </c>
      <c r="I21" s="44">
        <f t="shared" si="2"/>
        <v>30.73895792774122</v>
      </c>
      <c r="J21" s="44">
        <f t="shared" si="7"/>
        <v>107038.7126884716</v>
      </c>
      <c r="K21" s="44">
        <f t="shared" si="3"/>
        <v>1783.9785448078599</v>
      </c>
      <c r="L21" s="44">
        <f t="shared" si="3"/>
        <v>29.732975746797663</v>
      </c>
    </row>
    <row r="22" spans="1:12" ht="15.75" customHeight="1">
      <c r="A22" s="45">
        <f t="shared" si="8"/>
        <v>17</v>
      </c>
      <c r="B22" s="59">
        <f>C2*(1-I2)/(1-I2*(SIN(A22*PI()/180))^2)^1.5</f>
        <v>6340973.291392267</v>
      </c>
      <c r="C22" s="47">
        <f>C2/(1-I2*(SIN(A22*PI()/180))^2)^0.5</f>
        <v>6380221.49884942</v>
      </c>
      <c r="D22" s="47">
        <f t="shared" si="4"/>
        <v>6360567.122306855</v>
      </c>
      <c r="E22" s="47">
        <f t="shared" si="5"/>
        <v>6101436.1634473065</v>
      </c>
      <c r="F22" s="47">
        <f t="shared" si="0"/>
        <v>38336454.0548663</v>
      </c>
      <c r="G22" s="47">
        <f t="shared" si="6"/>
        <v>110670.86171581688</v>
      </c>
      <c r="H22" s="47">
        <f t="shared" si="1"/>
        <v>1844.5143619302812</v>
      </c>
      <c r="I22" s="47">
        <f t="shared" si="2"/>
        <v>30.741906032171354</v>
      </c>
      <c r="J22" s="47">
        <f t="shared" si="7"/>
        <v>106490.1501524064</v>
      </c>
      <c r="K22" s="47">
        <f t="shared" si="3"/>
        <v>1774.83583587344</v>
      </c>
      <c r="L22" s="47">
        <f t="shared" si="3"/>
        <v>29.580597264557333</v>
      </c>
    </row>
    <row r="23" spans="1:12" ht="15.75" customHeight="1">
      <c r="A23" s="45">
        <f t="shared" si="8"/>
        <v>18</v>
      </c>
      <c r="B23" s="58">
        <f>C2*(1-I2)/(1-I2*(SIN(A23*PI()/180))^2)^1.5</f>
        <v>6341613.795319369</v>
      </c>
      <c r="C23" s="44">
        <f>C2/(1-I2*(SIN(A23*PI()/180))^2)^0.5</f>
        <v>6380436.3144174665</v>
      </c>
      <c r="D23" s="44">
        <f t="shared" si="4"/>
        <v>6360995.437167557</v>
      </c>
      <c r="E23" s="44">
        <f t="shared" si="5"/>
        <v>6068155.533632965</v>
      </c>
      <c r="F23" s="44">
        <f t="shared" si="0"/>
        <v>38127345.690603144</v>
      </c>
      <c r="G23" s="44">
        <f t="shared" si="6"/>
        <v>110682.04061821676</v>
      </c>
      <c r="H23" s="44">
        <f t="shared" si="1"/>
        <v>1844.7006769702793</v>
      </c>
      <c r="I23" s="44">
        <f t="shared" si="2"/>
        <v>30.74501128283799</v>
      </c>
      <c r="J23" s="44">
        <f t="shared" si="7"/>
        <v>105909.29358500874</v>
      </c>
      <c r="K23" s="44">
        <f t="shared" si="3"/>
        <v>1765.154893083479</v>
      </c>
      <c r="L23" s="44">
        <f t="shared" si="3"/>
        <v>29.419248218057984</v>
      </c>
    </row>
    <row r="24" spans="1:12" ht="15.75" customHeight="1">
      <c r="A24" s="45">
        <f t="shared" si="8"/>
        <v>19</v>
      </c>
      <c r="B24" s="59">
        <f>C2*(1-I2)/(1-I2*(SIN(A24*PI()/180))^2)^1.5</f>
        <v>6342285.948770392</v>
      </c>
      <c r="C24" s="47">
        <f>C2/(1-I2*(SIN(A24*PI()/180))^2)^0.5</f>
        <v>6380661.729215467</v>
      </c>
      <c r="D24" s="47">
        <f t="shared" si="4"/>
        <v>6361444.901047265</v>
      </c>
      <c r="E24" s="47">
        <f t="shared" si="5"/>
        <v>6033034.189588883</v>
      </c>
      <c r="F24" s="47">
        <f t="shared" si="0"/>
        <v>37906671.77773697</v>
      </c>
      <c r="G24" s="47">
        <f t="shared" si="6"/>
        <v>110693.77190901575</v>
      </c>
      <c r="H24" s="47">
        <f t="shared" si="1"/>
        <v>1844.8961984835958</v>
      </c>
      <c r="I24" s="47">
        <f t="shared" si="2"/>
        <v>30.748269974726597</v>
      </c>
      <c r="J24" s="47">
        <f t="shared" si="7"/>
        <v>105296.3104937138</v>
      </c>
      <c r="K24" s="47">
        <f t="shared" si="3"/>
        <v>1754.9385082285633</v>
      </c>
      <c r="L24" s="47">
        <f t="shared" si="3"/>
        <v>29.248975137142722</v>
      </c>
    </row>
    <row r="25" spans="1:13" ht="15.75" customHeight="1">
      <c r="A25" s="45">
        <f t="shared" si="8"/>
        <v>20</v>
      </c>
      <c r="B25" s="58">
        <f>C2*(1-I2)/(1-I2*(SIN(A25*PI()/180))^2)^1.5</f>
        <v>6342988.949348996</v>
      </c>
      <c r="C25" s="44">
        <f>C2/(1-I2*(SIN(A25*PI()/180))^2)^0.5</f>
        <v>6380897.471932449</v>
      </c>
      <c r="D25" s="44">
        <f t="shared" si="4"/>
        <v>6361914.975178188</v>
      </c>
      <c r="E25" s="44">
        <f t="shared" si="5"/>
        <v>5996082.268366381</v>
      </c>
      <c r="F25" s="44">
        <f t="shared" si="0"/>
        <v>37674496.00923969</v>
      </c>
      <c r="G25" s="44">
        <f t="shared" si="6"/>
        <v>110706.04158375582</v>
      </c>
      <c r="H25" s="44">
        <f t="shared" si="1"/>
        <v>1845.100693062597</v>
      </c>
      <c r="I25" s="44">
        <f t="shared" si="2"/>
        <v>30.751678217709948</v>
      </c>
      <c r="J25" s="44">
        <f t="shared" si="7"/>
        <v>104651.37780344358</v>
      </c>
      <c r="K25" s="44">
        <f t="shared" si="3"/>
        <v>1744.189630057393</v>
      </c>
      <c r="L25" s="44">
        <f t="shared" si="3"/>
        <v>29.069827167623217</v>
      </c>
      <c r="M25" s="40" t="s">
        <v>2</v>
      </c>
    </row>
    <row r="26" spans="1:12" ht="15.75" customHeight="1">
      <c r="A26" s="45">
        <f t="shared" si="8"/>
        <v>21</v>
      </c>
      <c r="B26" s="59">
        <f>C2*(1-I2)/(1-I2*(SIN(A26*PI()/180))^2)^1.5</f>
        <v>6343721.957374499</v>
      </c>
      <c r="C26" s="47">
        <f>C2/(1-I2*(SIN(A26*PI()/180))^2)^0.5</f>
        <v>6381143.258733967</v>
      </c>
      <c r="D26" s="47">
        <f t="shared" si="4"/>
        <v>6362405.095840953</v>
      </c>
      <c r="E26" s="47">
        <f t="shared" si="5"/>
        <v>5957310.445028601</v>
      </c>
      <c r="F26" s="47">
        <f t="shared" si="0"/>
        <v>37430885.45851119</v>
      </c>
      <c r="G26" s="47">
        <f t="shared" si="6"/>
        <v>110718.83498724438</v>
      </c>
      <c r="H26" s="47">
        <f t="shared" si="1"/>
        <v>1845.313916454073</v>
      </c>
      <c r="I26" s="47">
        <f t="shared" si="2"/>
        <v>30.75523194090122</v>
      </c>
      <c r="J26" s="47">
        <f t="shared" si="7"/>
        <v>103974.68182919774</v>
      </c>
      <c r="K26" s="47">
        <f t="shared" si="3"/>
        <v>1732.9113638199624</v>
      </c>
      <c r="L26" s="47">
        <f t="shared" si="3"/>
        <v>28.88185606366604</v>
      </c>
    </row>
    <row r="27" spans="1:12" ht="15.75" customHeight="1">
      <c r="A27" s="45">
        <f t="shared" si="8"/>
        <v>22</v>
      </c>
      <c r="B27" s="58">
        <f>C2*(1-I2)/(1-I2*(SIN(A27*PI()/180))^2)^1.5</f>
        <v>6344484.096823692</v>
      </c>
      <c r="C27" s="44">
        <f>C2/(1-I2*(SIN(A27*PI()/180))^2)^0.5</f>
        <v>6381398.793591533</v>
      </c>
      <c r="D27" s="44">
        <f t="shared" si="4"/>
        <v>6362914.675007938</v>
      </c>
      <c r="E27" s="44">
        <f t="shared" si="5"/>
        <v>5916729.930970045</v>
      </c>
      <c r="F27" s="44">
        <f t="shared" si="0"/>
        <v>37175910.56882067</v>
      </c>
      <c r="G27" s="44">
        <f t="shared" si="6"/>
        <v>110732.13682999213</v>
      </c>
      <c r="H27" s="44">
        <f t="shared" si="1"/>
        <v>1845.5356138332022</v>
      </c>
      <c r="I27" s="44">
        <f t="shared" si="2"/>
        <v>30.758926897220036</v>
      </c>
      <c r="J27" s="44">
        <f t="shared" si="7"/>
        <v>103266.41824672409</v>
      </c>
      <c r="K27" s="44">
        <f t="shared" si="3"/>
        <v>1721.1069707787349</v>
      </c>
      <c r="L27" s="44">
        <f t="shared" si="3"/>
        <v>28.685116179645583</v>
      </c>
    </row>
    <row r="28" spans="1:12" ht="15.75" customHeight="1">
      <c r="A28" s="45">
        <f t="shared" si="8"/>
        <v>23</v>
      </c>
      <c r="B28" s="59">
        <f>C2*(1-I2)/(1-I2*(SIN(A28*PI()/180))^2)^1.5</f>
        <v>6345274.45631585</v>
      </c>
      <c r="C28" s="47">
        <f>C2/(1-I2*(SIN(A28*PI()/180))^2)^0.5</f>
        <v>6381663.7686267</v>
      </c>
      <c r="D28" s="47">
        <f t="shared" si="4"/>
        <v>6363443.101015625</v>
      </c>
      <c r="E28" s="47">
        <f t="shared" si="5"/>
        <v>5874352.472122469</v>
      </c>
      <c r="F28" s="47">
        <f t="shared" si="0"/>
        <v>36909645.14203398</v>
      </c>
      <c r="G28" s="47">
        <f t="shared" si="6"/>
        <v>110745.93120540467</v>
      </c>
      <c r="H28" s="47">
        <f t="shared" si="1"/>
        <v>1845.7655200900779</v>
      </c>
      <c r="I28" s="47">
        <f t="shared" si="2"/>
        <v>30.762758668167965</v>
      </c>
      <c r="J28" s="47">
        <f t="shared" si="7"/>
        <v>102526.7920612055</v>
      </c>
      <c r="K28" s="47">
        <f t="shared" si="3"/>
        <v>1708.7798676867583</v>
      </c>
      <c r="L28" s="47">
        <f t="shared" si="3"/>
        <v>28.47966446144597</v>
      </c>
    </row>
    <row r="29" spans="1:12" ht="15.75" customHeight="1">
      <c r="A29" s="45">
        <f t="shared" si="8"/>
        <v>24</v>
      </c>
      <c r="B29" s="58">
        <f>C2*(1-I2)/(1-I2*(SIN(A29*PI()/180))^2)^1.5</f>
        <v>6346092.090140099</v>
      </c>
      <c r="C29" s="44">
        <f>C2/(1-I2*(SIN(A29*PI()/180))^2)^0.5</f>
        <v>6381937.864469442</v>
      </c>
      <c r="D29" s="44">
        <f t="shared" si="4"/>
        <v>6363989.739265386</v>
      </c>
      <c r="E29" s="44">
        <f t="shared" si="5"/>
        <v>5830190.347043379</v>
      </c>
      <c r="F29" s="44">
        <f t="shared" si="0"/>
        <v>36632166.32660321</v>
      </c>
      <c r="G29" s="44">
        <f t="shared" si="6"/>
        <v>110760.20160771349</v>
      </c>
      <c r="H29" s="44">
        <f t="shared" si="1"/>
        <v>1846.0033601285581</v>
      </c>
      <c r="I29" s="44">
        <f t="shared" si="2"/>
        <v>30.7667226688093</v>
      </c>
      <c r="J29" s="44">
        <f t="shared" si="7"/>
        <v>101756.01757389781</v>
      </c>
      <c r="K29" s="44">
        <f t="shared" si="3"/>
        <v>1695.9336262316303</v>
      </c>
      <c r="L29" s="44">
        <f t="shared" si="3"/>
        <v>28.265560437193837</v>
      </c>
    </row>
    <row r="30" spans="1:12" ht="15.75" customHeight="1">
      <c r="A30" s="45">
        <f t="shared" si="8"/>
        <v>25</v>
      </c>
      <c r="B30" s="47">
        <f>C2*(1-I2)/(1-I2*(SIN(A30*PI()/180))^2)^1.5</f>
        <v>6346936.019324317</v>
      </c>
      <c r="C30" s="47">
        <f>C2/(1-I2*(SIN(A30*PI()/180))^2)^0.5</f>
        <v>6382220.7506304765</v>
      </c>
      <c r="D30" s="47">
        <f>(B30*C30)^0.5</f>
        <v>6364553.932952069</v>
      </c>
      <c r="E30" s="46">
        <f>C30*COS(A30*PI()/180)</f>
        <v>5784256.364883294</v>
      </c>
      <c r="F30" s="47">
        <f>2*PI()*E30</f>
        <v>36343554.60479472</v>
      </c>
      <c r="G30" s="46">
        <f>B30*PI()/180</f>
        <v>110774.93095063177</v>
      </c>
      <c r="H30" s="47">
        <f aca="true" t="shared" si="9" ref="H30:I49">G30/60</f>
        <v>1846.248849177196</v>
      </c>
      <c r="I30" s="47">
        <f t="shared" si="9"/>
        <v>30.770814152953267</v>
      </c>
      <c r="J30" s="47">
        <f>F30/360</f>
        <v>100954.318346652</v>
      </c>
      <c r="K30" s="47">
        <f aca="true" t="shared" si="10" ref="K30:L49">J30/60</f>
        <v>1682.5719724442</v>
      </c>
      <c r="L30" s="47">
        <f t="shared" si="10"/>
        <v>28.042866207403332</v>
      </c>
    </row>
    <row r="31" spans="1:12" ht="15.75" customHeight="1">
      <c r="A31" s="45">
        <f t="shared" si="8"/>
        <v>26</v>
      </c>
      <c r="B31" s="44">
        <f>C2*(1-I2)/(1-I2*(SIN(A31*PI()/180))^2)^1.5</f>
        <v>6347805.232744633</v>
      </c>
      <c r="C31" s="44">
        <f>C2/(1-I2*(SIN(A31*PI()/180))^2)^0.5</f>
        <v>6382512.085887162</v>
      </c>
      <c r="D31" s="44">
        <f>(B31*C31)^0.5</f>
        <v>6365135.003819667</v>
      </c>
      <c r="E31" s="48">
        <f>C31*COS(A31*PI()/180)</f>
        <v>5736563.863227859</v>
      </c>
      <c r="F31" s="44">
        <f>2*PI()*E31</f>
        <v>36043893.77913065</v>
      </c>
      <c r="G31" s="44">
        <f>B31*PI()/180</f>
        <v>110790.10158671881</v>
      </c>
      <c r="H31" s="44">
        <f t="shared" si="9"/>
        <v>1846.50169311198</v>
      </c>
      <c r="I31" s="44">
        <f t="shared" si="9"/>
        <v>30.775028218533002</v>
      </c>
      <c r="J31" s="44">
        <f>F31/360</f>
        <v>100121.92716425181</v>
      </c>
      <c r="K31" s="44">
        <f t="shared" si="10"/>
        <v>1668.6987860708637</v>
      </c>
      <c r="L31" s="44">
        <f t="shared" si="10"/>
        <v>27.811646434514394</v>
      </c>
    </row>
    <row r="32" spans="1:12" ht="15.75" customHeight="1">
      <c r="A32" s="45">
        <f t="shared" si="8"/>
        <v>27</v>
      </c>
      <c r="B32" s="47">
        <f>C2*(1-I2)/(1-I2*(SIN(A32*PI()/180))^2)^1.5</f>
        <v>6348698.688274607</v>
      </c>
      <c r="C32" s="47">
        <f>C2/(1-I2*(SIN(A32*PI()/180))^2)^0.5</f>
        <v>6382811.518682575</v>
      </c>
      <c r="D32" s="47">
        <f aca="true" t="shared" si="11" ref="D32:D95">(B32*C32)^0.5</f>
        <v>6365732.252943421</v>
      </c>
      <c r="E32" s="46">
        <f aca="true" t="shared" si="12" ref="E32:E94">C32*COS(A32*PI()/180)</f>
        <v>5687126.705810839</v>
      </c>
      <c r="F32" s="47">
        <f aca="true" t="shared" si="13" ref="F32:F95">2*PI()*E32</f>
        <v>35733270.95801931</v>
      </c>
      <c r="G32" s="47">
        <f aca="true" t="shared" si="14" ref="G32:G95">B32*PI()/180</f>
        <v>110805.695327437</v>
      </c>
      <c r="H32" s="47">
        <f t="shared" si="9"/>
        <v>1846.7615887906168</v>
      </c>
      <c r="I32" s="47">
        <f t="shared" si="9"/>
        <v>30.779359813176946</v>
      </c>
      <c r="J32" s="47">
        <f aca="true" t="shared" si="15" ref="J32:J95">F32/360</f>
        <v>99259.08599449808</v>
      </c>
      <c r="K32" s="47">
        <f t="shared" si="10"/>
        <v>1654.3180999083013</v>
      </c>
      <c r="L32" s="47">
        <f t="shared" si="10"/>
        <v>27.57196833180502</v>
      </c>
    </row>
    <row r="33" spans="1:12" ht="15.75" customHeight="1">
      <c r="A33" s="45">
        <f t="shared" si="8"/>
        <v>28</v>
      </c>
      <c r="B33" s="44">
        <f>C2*(1-I2)/(1-I2*(SIN(A33*PI()/180))^2)^1.5</f>
        <v>6349615.313973052</v>
      </c>
      <c r="C33" s="44">
        <f>C2/(1-I2*(SIN(A33*PI()/180))^2)^0.5</f>
        <v>6383118.687537368</v>
      </c>
      <c r="D33" s="44">
        <f t="shared" si="11"/>
        <v>6366344.9615375735</v>
      </c>
      <c r="E33" s="48">
        <f t="shared" si="12"/>
        <v>5635959.280093953</v>
      </c>
      <c r="F33" s="44">
        <f t="shared" si="13"/>
        <v>35411776.540548764</v>
      </c>
      <c r="G33" s="44">
        <f t="shared" si="14"/>
        <v>110821.69346388328</v>
      </c>
      <c r="H33" s="44">
        <f t="shared" si="9"/>
        <v>1847.0282243980546</v>
      </c>
      <c r="I33" s="44">
        <f t="shared" si="9"/>
        <v>30.783803739967578</v>
      </c>
      <c r="J33" s="44">
        <f t="shared" si="15"/>
        <v>98366.04594596878</v>
      </c>
      <c r="K33" s="44">
        <f t="shared" si="10"/>
        <v>1639.4340990994797</v>
      </c>
      <c r="L33" s="44">
        <f t="shared" si="10"/>
        <v>27.323901651657994</v>
      </c>
    </row>
    <row r="34" spans="1:12" ht="15.75" customHeight="1">
      <c r="A34" s="45">
        <f t="shared" si="8"/>
        <v>29</v>
      </c>
      <c r="B34" s="47">
        <f>C2*(1-I2)/(1-I2*(SIN(A34*PI()/180))^2)^1.5</f>
        <v>6350554.009309478</v>
      </c>
      <c r="C34" s="47">
        <f>C2/(1-I2*(SIN(A34*PI()/180))^2)^0.5</f>
        <v>6383433.22147398</v>
      </c>
      <c r="D34" s="47">
        <f t="shared" si="11"/>
        <v>6366972.391788023</v>
      </c>
      <c r="E34" s="46">
        <f t="shared" si="12"/>
        <v>5583076.494709462</v>
      </c>
      <c r="F34" s="47">
        <f t="shared" si="13"/>
        <v>35079504.2004182</v>
      </c>
      <c r="G34" s="47">
        <f t="shared" si="14"/>
        <v>110838.07678817702</v>
      </c>
      <c r="H34" s="47">
        <f t="shared" si="9"/>
        <v>1847.3012798029501</v>
      </c>
      <c r="I34" s="47">
        <f t="shared" si="9"/>
        <v>30.788354663382503</v>
      </c>
      <c r="J34" s="47">
        <f t="shared" si="15"/>
        <v>97443.06722338388</v>
      </c>
      <c r="K34" s="47">
        <f t="shared" si="10"/>
        <v>1624.0511203897315</v>
      </c>
      <c r="L34" s="47">
        <f t="shared" si="10"/>
        <v>27.06751867316219</v>
      </c>
    </row>
    <row r="35" spans="1:13" ht="15.75" customHeight="1">
      <c r="A35" s="45">
        <f t="shared" si="8"/>
        <v>30</v>
      </c>
      <c r="B35" s="44">
        <f>C2*(1-I2)/(1-I2*(SIN(A35*PI()/180))^2)^1.5</f>
        <v>6351513.646426035</v>
      </c>
      <c r="C35" s="44">
        <f>C2/(1-I2*(SIN(A35*PI()/180))^2)^0.5</f>
        <v>6383754.740452755</v>
      </c>
      <c r="D35" s="44">
        <f t="shared" si="11"/>
        <v>6367613.787709064</v>
      </c>
      <c r="E35" s="48">
        <f t="shared" si="12"/>
        <v>5528493.776761422</v>
      </c>
      <c r="F35" s="44">
        <f t="shared" si="13"/>
        <v>34736550.868981145</v>
      </c>
      <c r="G35" s="44">
        <f t="shared" si="14"/>
        <v>110854.82561548529</v>
      </c>
      <c r="H35" s="44">
        <f t="shared" si="9"/>
        <v>1847.5804269247549</v>
      </c>
      <c r="I35" s="44">
        <f t="shared" si="9"/>
        <v>30.793007115412582</v>
      </c>
      <c r="J35" s="44">
        <f t="shared" si="15"/>
        <v>96490.41908050318</v>
      </c>
      <c r="K35" s="44">
        <f t="shared" si="10"/>
        <v>1608.1736513417197</v>
      </c>
      <c r="L35" s="44">
        <f t="shared" si="10"/>
        <v>26.802894189028663</v>
      </c>
      <c r="M35" s="40" t="s">
        <v>2</v>
      </c>
    </row>
    <row r="36" spans="1:12" ht="15.75" customHeight="1">
      <c r="A36" s="45">
        <f t="shared" si="8"/>
        <v>31</v>
      </c>
      <c r="B36" s="47">
        <f>C2*(1-I2)/(1-I2*(SIN(A36*PI()/180))^2)^1.5</f>
        <v>6352493.071434807</v>
      </c>
      <c r="C36" s="47">
        <f>C2/(1-I2*(SIN(A36*PI()/180))^2)^0.5</f>
        <v>6384082.855819545</v>
      </c>
      <c r="D36" s="47">
        <f t="shared" si="11"/>
        <v>6368268.3760233745</v>
      </c>
      <c r="E36" s="46">
        <f t="shared" si="12"/>
        <v>5472227.0689814715</v>
      </c>
      <c r="F36" s="47">
        <f t="shared" si="13"/>
        <v>34383016.717374794</v>
      </c>
      <c r="G36" s="47">
        <f t="shared" si="14"/>
        <v>110871.91980666472</v>
      </c>
      <c r="H36" s="47">
        <f t="shared" si="9"/>
        <v>1847.8653301110787</v>
      </c>
      <c r="I36" s="47">
        <f t="shared" si="9"/>
        <v>30.797755501851313</v>
      </c>
      <c r="J36" s="47">
        <f t="shared" si="15"/>
        <v>95508.37977048554</v>
      </c>
      <c r="K36" s="47">
        <f t="shared" si="10"/>
        <v>1591.8063295080924</v>
      </c>
      <c r="L36" s="47">
        <f t="shared" si="10"/>
        <v>26.53010549180154</v>
      </c>
    </row>
    <row r="37" spans="1:12" ht="15.75" customHeight="1">
      <c r="A37" s="45">
        <f t="shared" si="8"/>
        <v>32</v>
      </c>
      <c r="B37" s="44">
        <f>C2*(1-I2)/(1-I2*(SIN(A37*PI()/180))^2)^1.5</f>
        <v>6353491.105749242</v>
      </c>
      <c r="C37" s="44">
        <f>C2/(1-I2*(SIN(A37*PI()/180))^2)^0.5</f>
        <v>6384417.170764271</v>
      </c>
      <c r="D37" s="44">
        <f t="shared" si="11"/>
        <v>6368935.367064384</v>
      </c>
      <c r="E37" s="48">
        <f t="shared" si="12"/>
        <v>5414292.8267350355</v>
      </c>
      <c r="F37" s="44">
        <f t="shared" si="13"/>
        <v>34019005.1377094</v>
      </c>
      <c r="G37" s="44">
        <f t="shared" si="14"/>
        <v>110889.3387914995</v>
      </c>
      <c r="H37" s="44">
        <f t="shared" si="9"/>
        <v>1848.1556465249917</v>
      </c>
      <c r="I37" s="44">
        <f t="shared" si="9"/>
        <v>30.80259410874986</v>
      </c>
      <c r="J37" s="44">
        <f t="shared" si="15"/>
        <v>94497.23649363723</v>
      </c>
      <c r="K37" s="44">
        <f t="shared" si="10"/>
        <v>1574.9539415606205</v>
      </c>
      <c r="L37" s="44">
        <f t="shared" si="10"/>
        <v>26.249232359343676</v>
      </c>
    </row>
    <row r="38" spans="1:12" ht="15.75" customHeight="1">
      <c r="A38" s="45">
        <f t="shared" si="8"/>
        <v>33</v>
      </c>
      <c r="B38" s="47">
        <f>C2*(1-I2)/(1-I2*(SIN(A38*PI()/180))^2)^1.5</f>
        <v>6354506.547448462</v>
      </c>
      <c r="C38" s="47">
        <f>C2/(1-I2*(SIN(A38*PI()/180))^2)^0.5</f>
        <v>6384757.2807900235</v>
      </c>
      <c r="D38" s="47">
        <f t="shared" si="11"/>
        <v>6369613.955700098</v>
      </c>
      <c r="E38" s="46">
        <f t="shared" si="12"/>
        <v>5354708.01487385</v>
      </c>
      <c r="F38" s="47">
        <f t="shared" si="13"/>
        <v>33644622.72329214</v>
      </c>
      <c r="G38" s="47">
        <f t="shared" si="14"/>
        <v>110907.06159251292</v>
      </c>
      <c r="H38" s="47">
        <f t="shared" si="9"/>
        <v>1848.4510265418821</v>
      </c>
      <c r="I38" s="47">
        <f t="shared" si="9"/>
        <v>30.80751710903137</v>
      </c>
      <c r="J38" s="47">
        <f t="shared" si="15"/>
        <v>93457.28534247818</v>
      </c>
      <c r="K38" s="47">
        <f t="shared" si="10"/>
        <v>1557.6214223746363</v>
      </c>
      <c r="L38" s="47">
        <f t="shared" si="10"/>
        <v>25.96035703957727</v>
      </c>
    </row>
    <row r="39" spans="1:12" ht="15.75" customHeight="1">
      <c r="A39" s="45">
        <f t="shared" si="8"/>
        <v>34</v>
      </c>
      <c r="B39" s="44">
        <f>C2*(1-I2)/(1-I2*(SIN(A39*PI()/180))^2)^1.5</f>
        <v>6355538.172673157</v>
      </c>
      <c r="C39" s="44">
        <f>C2/(1-I2*(SIN(A39*PI()/180))^2)^0.5</f>
        <v>6385102.77419214</v>
      </c>
      <c r="D39" s="44">
        <f t="shared" si="11"/>
        <v>6370303.322277474</v>
      </c>
      <c r="E39" s="48">
        <f t="shared" si="12"/>
        <v>5293490.104430715</v>
      </c>
      <c r="F39" s="44">
        <f t="shared" si="13"/>
        <v>33259979.2478596</v>
      </c>
      <c r="G39" s="44">
        <f t="shared" si="14"/>
        <v>110925.0668493305</v>
      </c>
      <c r="H39" s="44">
        <f t="shared" si="9"/>
        <v>1848.7511141555083</v>
      </c>
      <c r="I39" s="44">
        <f t="shared" si="9"/>
        <v>30.812518569258472</v>
      </c>
      <c r="J39" s="44">
        <f t="shared" si="15"/>
        <v>92388.83124405445</v>
      </c>
      <c r="K39" s="44">
        <f t="shared" si="10"/>
        <v>1539.8138540675743</v>
      </c>
      <c r="L39" s="44">
        <f t="shared" si="10"/>
        <v>25.66356423445957</v>
      </c>
    </row>
    <row r="40" spans="1:12" ht="15.75" customHeight="1">
      <c r="A40" s="45">
        <f t="shared" si="8"/>
        <v>35</v>
      </c>
      <c r="B40" s="47">
        <f>C2*(1-I2)/(1-I2*(SIN(A40*PI()/180))^2)^1.5</f>
        <v>6356584.737051653</v>
      </c>
      <c r="C40" s="47">
        <f>C2/(1-I2*(SIN(A40*PI()/180))^2)^0.5</f>
        <v>6385453.232546789</v>
      </c>
      <c r="D40" s="47">
        <f t="shared" si="11"/>
        <v>6371002.633586338</v>
      </c>
      <c r="E40" s="46">
        <f t="shared" si="12"/>
        <v>5230657.069152453</v>
      </c>
      <c r="F40" s="47">
        <f t="shared" si="13"/>
        <v>32865187.64379373</v>
      </c>
      <c r="G40" s="47">
        <f t="shared" si="14"/>
        <v>110943.33284356934</v>
      </c>
      <c r="H40" s="47">
        <f t="shared" si="9"/>
        <v>1849.0555473928223</v>
      </c>
      <c r="I40" s="47">
        <f t="shared" si="9"/>
        <v>30.81759245654704</v>
      </c>
      <c r="J40" s="47">
        <f t="shared" si="15"/>
        <v>91292.18789942702</v>
      </c>
      <c r="K40" s="47">
        <f t="shared" si="10"/>
        <v>1521.5364649904504</v>
      </c>
      <c r="L40" s="47">
        <f t="shared" si="10"/>
        <v>25.358941083174173</v>
      </c>
    </row>
    <row r="41" spans="1:12" ht="15.75" customHeight="1">
      <c r="A41" s="45">
        <f t="shared" si="8"/>
        <v>36</v>
      </c>
      <c r="B41" s="44">
        <f>C2*(1-I2)/(1-I2*(SIN(A41*PI()/180))^2)^1.5</f>
        <v>6357644.977154788</v>
      </c>
      <c r="C41" s="44">
        <f>C2/(1-I2*(SIN(A41*PI()/180))^2)^0.5</f>
        <v>6385808.231208491</v>
      </c>
      <c r="D41" s="44">
        <f t="shared" si="11"/>
        <v>6371711.043841863</v>
      </c>
      <c r="E41" s="48">
        <f t="shared" si="12"/>
        <v>5166227.381867093</v>
      </c>
      <c r="F41" s="44">
        <f t="shared" si="13"/>
        <v>32460363.97929618</v>
      </c>
      <c r="G41" s="44">
        <f t="shared" si="14"/>
        <v>110961.83752423072</v>
      </c>
      <c r="H41" s="44">
        <f t="shared" si="9"/>
        <v>1849.3639587371788</v>
      </c>
      <c r="I41" s="44">
        <f t="shared" si="9"/>
        <v>30.822732645619645</v>
      </c>
      <c r="J41" s="44">
        <f t="shared" si="15"/>
        <v>90167.67772026717</v>
      </c>
      <c r="K41" s="44">
        <f t="shared" si="10"/>
        <v>1502.7946286711194</v>
      </c>
      <c r="L41" s="44">
        <f t="shared" si="10"/>
        <v>25.046577144518658</v>
      </c>
    </row>
    <row r="42" spans="1:12" ht="15.75" customHeight="1">
      <c r="A42" s="45">
        <f t="shared" si="8"/>
        <v>37</v>
      </c>
      <c r="B42" s="47">
        <f>C2*(1-I2)/(1-I2*(SIN(A42*PI()/180))^2)^1.5</f>
        <v>6358717.611978079</v>
      </c>
      <c r="C42" s="47">
        <f>C2/(1-I2*(SIN(A42*PI()/180))^2)^0.5</f>
        <v>6386167.339816072</v>
      </c>
      <c r="D42" s="47">
        <f t="shared" si="11"/>
        <v>6372427.6956845615</v>
      </c>
      <c r="E42" s="46">
        <f t="shared" si="12"/>
        <v>5100220.010681372</v>
      </c>
      <c r="F42" s="47">
        <f t="shared" si="13"/>
        <v>32045627.43449651</v>
      </c>
      <c r="G42" s="47">
        <f t="shared" si="14"/>
        <v>110980.5585335687</v>
      </c>
      <c r="H42" s="47">
        <f t="shared" si="9"/>
        <v>1849.6759755594785</v>
      </c>
      <c r="I42" s="47">
        <f t="shared" si="9"/>
        <v>30.82793292599131</v>
      </c>
      <c r="J42" s="47">
        <f t="shared" si="15"/>
        <v>89015.6317624903</v>
      </c>
      <c r="K42" s="47">
        <f t="shared" si="10"/>
        <v>1483.5938627081716</v>
      </c>
      <c r="L42" s="47">
        <f t="shared" si="10"/>
        <v>24.726564378469526</v>
      </c>
    </row>
    <row r="43" spans="1:12" ht="15.75" customHeight="1">
      <c r="A43" s="45">
        <f t="shared" si="8"/>
        <v>38</v>
      </c>
      <c r="B43" s="44">
        <f>C2*(1-I2)/(1-I2*(SIN(A43*PI()/180))^2)^1.5</f>
        <v>6359801.3444497045</v>
      </c>
      <c r="C43" s="44">
        <f>C2/(1-I2*(SIN(A43*PI()/180))^2)^0.5</f>
        <v>6386530.122806442</v>
      </c>
      <c r="D43" s="44">
        <f t="shared" si="11"/>
        <v>6373151.721196738</v>
      </c>
      <c r="E43" s="48">
        <f t="shared" si="12"/>
        <v>5032654.415004735</v>
      </c>
      <c r="F43" s="44">
        <f t="shared" si="13"/>
        <v>31621100.276470225</v>
      </c>
      <c r="G43" s="44">
        <f t="shared" si="14"/>
        <v>110999.47323340933</v>
      </c>
      <c r="H43" s="44">
        <f t="shared" si="9"/>
        <v>1849.991220556822</v>
      </c>
      <c r="I43" s="44">
        <f t="shared" si="9"/>
        <v>30.83318700928037</v>
      </c>
      <c r="J43" s="44">
        <f t="shared" si="15"/>
        <v>87836.38965686173</v>
      </c>
      <c r="K43" s="44">
        <f t="shared" si="10"/>
        <v>1463.9398276143622</v>
      </c>
      <c r="L43" s="44">
        <f t="shared" si="10"/>
        <v>24.398997126906036</v>
      </c>
    </row>
    <row r="44" spans="1:12" ht="15.75" customHeight="1">
      <c r="A44" s="45">
        <f t="shared" si="8"/>
        <v>39</v>
      </c>
      <c r="B44" s="47">
        <f>C2*(1-I2)/(1-I2*(SIN(A44*PI()/180))^2)^1.5</f>
        <v>6360894.862962667</v>
      </c>
      <c r="C44" s="47">
        <f>C2/(1-I2*(SIN(A44*PI()/180))^2)^0.5</f>
        <v>6386896.1399356695</v>
      </c>
      <c r="D44" s="47">
        <f t="shared" si="11"/>
        <v>6373882.242934276</v>
      </c>
      <c r="E44" s="46">
        <f t="shared" si="12"/>
        <v>4963550.541396122</v>
      </c>
      <c r="F44" s="47">
        <f t="shared" si="13"/>
        <v>31186907.8331434</v>
      </c>
      <c r="G44" s="47">
        <f t="shared" si="14"/>
        <v>111018.55873189204</v>
      </c>
      <c r="H44" s="47">
        <f t="shared" si="9"/>
        <v>1850.3093121982008</v>
      </c>
      <c r="I44" s="47">
        <f t="shared" si="9"/>
        <v>30.83848853663668</v>
      </c>
      <c r="J44" s="47">
        <f t="shared" si="15"/>
        <v>86630.29953650944</v>
      </c>
      <c r="K44" s="47">
        <f t="shared" si="10"/>
        <v>1443.8383256084905</v>
      </c>
      <c r="L44" s="47">
        <f t="shared" si="10"/>
        <v>24.063972093474842</v>
      </c>
    </row>
    <row r="45" spans="1:13" ht="15.75" customHeight="1">
      <c r="A45" s="45">
        <f t="shared" si="8"/>
        <v>40</v>
      </c>
      <c r="B45" s="44">
        <f>C2*(1-I2)/(1-I2*(SIN(A45*PI()/180))^2)^1.5</f>
        <v>6361996.842929561</v>
      </c>
      <c r="C45" s="44">
        <f>C2/(1-I2*(SIN(A45*PI()/180))^2)^0.5</f>
        <v>6387264.946806733</v>
      </c>
      <c r="D45" s="44">
        <f t="shared" si="11"/>
        <v>6374618.37497266</v>
      </c>
      <c r="E45" s="48">
        <f t="shared" si="12"/>
        <v>4892928.8192299325</v>
      </c>
      <c r="F45" s="44">
        <f t="shared" si="13"/>
        <v>30743178.466061074</v>
      </c>
      <c r="G45" s="44">
        <f t="shared" si="14"/>
        <v>111037.79191060536</v>
      </c>
      <c r="H45" s="44">
        <f t="shared" si="9"/>
        <v>1850.629865176756</v>
      </c>
      <c r="I45" s="44">
        <f t="shared" si="9"/>
        <v>30.84383108627927</v>
      </c>
      <c r="J45" s="44">
        <f t="shared" si="15"/>
        <v>85397.71796128077</v>
      </c>
      <c r="K45" s="44">
        <f t="shared" si="10"/>
        <v>1423.2952993546794</v>
      </c>
      <c r="L45" s="44">
        <f t="shared" si="10"/>
        <v>23.72158832257799</v>
      </c>
      <c r="M45" s="40" t="s">
        <v>2</v>
      </c>
    </row>
    <row r="46" spans="1:12" ht="15.75" customHeight="1">
      <c r="A46" s="45">
        <f t="shared" si="8"/>
        <v>41</v>
      </c>
      <c r="B46" s="47">
        <f>C2*(1-I2)/(1-I2*(SIN(A46*PI()/180))^2)^1.5</f>
        <v>6363105.948358253</v>
      </c>
      <c r="C46" s="47">
        <f>C2/(1-I2*(SIN(A46*PI()/180))^2)^0.5</f>
        <v>6387636.09540336</v>
      </c>
      <c r="D46" s="47">
        <f t="shared" si="11"/>
        <v>6375359.223966051</v>
      </c>
      <c r="E46" s="46">
        <f t="shared" si="12"/>
        <v>4820810.156177697</v>
      </c>
      <c r="F46" s="47">
        <f t="shared" si="13"/>
        <v>30290043.54199783</v>
      </c>
      <c r="G46" s="47">
        <f t="shared" si="14"/>
        <v>111057.14945208777</v>
      </c>
      <c r="H46" s="47">
        <f t="shared" si="9"/>
        <v>1850.9524908681296</v>
      </c>
      <c r="I46" s="47">
        <f t="shared" si="9"/>
        <v>30.849208181135495</v>
      </c>
      <c r="J46" s="47">
        <f t="shared" si="15"/>
        <v>84139.00983888286</v>
      </c>
      <c r="K46" s="47">
        <f t="shared" si="10"/>
        <v>1402.3168306480477</v>
      </c>
      <c r="L46" s="47">
        <f t="shared" si="10"/>
        <v>23.37194717746746</v>
      </c>
    </row>
    <row r="47" spans="1:12" ht="15.75" customHeight="1">
      <c r="A47" s="45">
        <f t="shared" si="8"/>
        <v>42</v>
      </c>
      <c r="B47" s="44">
        <f>C2*(1-I2)/(1-I2*(SIN(A47*PI()/180))^2)^1.5</f>
        <v>6364220.833446729</v>
      </c>
      <c r="C47" s="44">
        <f>C2/(1-I2*(SIN(A47*PI()/180))^2)^0.5</f>
        <v>6388009.134629356</v>
      </c>
      <c r="D47" s="44">
        <f t="shared" si="11"/>
        <v>6376103.890218238</v>
      </c>
      <c r="E47" s="48">
        <f t="shared" si="12"/>
        <v>4747215.933502133</v>
      </c>
      <c r="F47" s="44">
        <f t="shared" si="13"/>
        <v>29827637.403389424</v>
      </c>
      <c r="G47" s="44">
        <f t="shared" si="14"/>
        <v>111076.60786766309</v>
      </c>
      <c r="H47" s="44">
        <f t="shared" si="9"/>
        <v>1851.2767977943847</v>
      </c>
      <c r="I47" s="44">
        <f t="shared" si="9"/>
        <v>30.854613296573078</v>
      </c>
      <c r="J47" s="44">
        <f t="shared" si="15"/>
        <v>82854.5483427484</v>
      </c>
      <c r="K47" s="44">
        <f t="shared" si="10"/>
        <v>1380.9091390458066</v>
      </c>
      <c r="L47" s="44">
        <f t="shared" si="10"/>
        <v>23.01515231743011</v>
      </c>
    </row>
    <row r="48" spans="1:12" ht="15.75" customHeight="1">
      <c r="A48" s="45">
        <f t="shared" si="8"/>
        <v>43</v>
      </c>
      <c r="B48" s="47">
        <f>C2*(1-I2)/(1-I2*(SIN(A48*PI()/180))^2)^1.5</f>
        <v>6365340.144195357</v>
      </c>
      <c r="C48" s="47">
        <f>C2/(1-I2*(SIN(A48*PI()/180))^2)^0.5</f>
        <v>6388383.610852759</v>
      </c>
      <c r="D48" s="47">
        <f t="shared" si="11"/>
        <v>6376851.468764249</v>
      </c>
      <c r="E48" s="46">
        <f t="shared" si="12"/>
        <v>4672168.001160408</v>
      </c>
      <c r="F48" s="47">
        <f t="shared" si="13"/>
        <v>29356097.337565694</v>
      </c>
      <c r="G48" s="47">
        <f t="shared" si="14"/>
        <v>111096.14352557961</v>
      </c>
      <c r="H48" s="47">
        <f t="shared" si="9"/>
        <v>1851.6023920929936</v>
      </c>
      <c r="I48" s="47">
        <f t="shared" si="9"/>
        <v>30.86003986821656</v>
      </c>
      <c r="J48" s="47">
        <f t="shared" si="15"/>
        <v>81544.71482657138</v>
      </c>
      <c r="K48" s="47">
        <f t="shared" si="10"/>
        <v>1359.0785804428563</v>
      </c>
      <c r="L48" s="47">
        <f t="shared" si="10"/>
        <v>22.651309674047603</v>
      </c>
    </row>
    <row r="49" spans="1:12" ht="15.75" customHeight="1">
      <c r="A49" s="45">
        <f t="shared" si="8"/>
        <v>44</v>
      </c>
      <c r="B49" s="44">
        <f>C2*(1-I2)/(1-I2*(SIN(A49*PI()/180))^2)^1.5</f>
        <v>6366462.52003473</v>
      </c>
      <c r="C49" s="44">
        <f>C2/(1-I2*(SIN(A49*PI()/180))^2)^0.5</f>
        <v>6388759.0684542395</v>
      </c>
      <c r="D49" s="44">
        <f t="shared" si="11"/>
        <v>6377601.050461366</v>
      </c>
      <c r="E49" s="48">
        <f t="shared" si="12"/>
        <v>4595688.67271362</v>
      </c>
      <c r="F49" s="44">
        <f t="shared" si="13"/>
        <v>28875563.54476587</v>
      </c>
      <c r="G49" s="44">
        <f t="shared" si="14"/>
        <v>111115.73267942149</v>
      </c>
      <c r="H49" s="44">
        <f t="shared" si="9"/>
        <v>1851.9288779903582</v>
      </c>
      <c r="I49" s="44">
        <f t="shared" si="9"/>
        <v>30.865481299839303</v>
      </c>
      <c r="J49" s="44">
        <f t="shared" si="15"/>
        <v>80209.89873546075</v>
      </c>
      <c r="K49" s="44">
        <f t="shared" si="10"/>
        <v>1336.8316455910126</v>
      </c>
      <c r="L49" s="44">
        <f t="shared" si="10"/>
        <v>22.280527426516876</v>
      </c>
    </row>
    <row r="50" spans="1:12" ht="15.75" customHeight="1">
      <c r="A50" s="45">
        <f t="shared" si="8"/>
        <v>45</v>
      </c>
      <c r="B50" s="47">
        <f>C2*(1-I2)/(1-I2*(SIN(A50*PI()/180))^2)^1.5</f>
        <v>6367586.595467227</v>
      </c>
      <c r="C50" s="47">
        <f>C2/(1-I2*(SIN(A50*PI()/180))^2)^0.5</f>
        <v>6389135.050379048</v>
      </c>
      <c r="D50" s="47">
        <f t="shared" si="11"/>
        <v>6378351.723088297</v>
      </c>
      <c r="E50" s="46">
        <f t="shared" si="12"/>
        <v>4517800.720039679</v>
      </c>
      <c r="F50" s="47">
        <f t="shared" si="13"/>
        <v>28386179.104918666</v>
      </c>
      <c r="G50" s="47">
        <f t="shared" si="14"/>
        <v>111135.35149675935</v>
      </c>
      <c r="H50" s="47">
        <f aca="true" t="shared" si="16" ref="H50:I69">G50/60</f>
        <v>1852.2558582793224</v>
      </c>
      <c r="I50" s="47">
        <f t="shared" si="16"/>
        <v>30.87093097132204</v>
      </c>
      <c r="J50" s="47">
        <f t="shared" si="15"/>
        <v>78850.49751366297</v>
      </c>
      <c r="K50" s="47">
        <f aca="true" t="shared" si="17" ref="K50:L69">J50/60</f>
        <v>1314.1749585610494</v>
      </c>
      <c r="L50" s="47">
        <f t="shared" si="17"/>
        <v>21.90291597601749</v>
      </c>
    </row>
    <row r="51" spans="1:12" ht="15.75" customHeight="1">
      <c r="A51" s="45">
        <f t="shared" si="8"/>
        <v>46</v>
      </c>
      <c r="B51" s="44">
        <f>C2*(1-I2)/(1-I2*(SIN(A51*PI()/180))^2)^1.5</f>
        <v>6368711.001720364</v>
      </c>
      <c r="C51" s="44">
        <f>C2/(1-I2*(SIN(A51*PI()/180))^2)^0.5</f>
        <v>6389511.09869189</v>
      </c>
      <c r="D51" s="44">
        <f t="shared" si="11"/>
        <v>6379102.572451192</v>
      </c>
      <c r="E51" s="48">
        <f t="shared" si="12"/>
        <v>4438527.367846986</v>
      </c>
      <c r="F51" s="44">
        <f t="shared" si="13"/>
        <v>27888089.943170667</v>
      </c>
      <c r="G51" s="44">
        <f t="shared" si="14"/>
        <v>111154.9760880066</v>
      </c>
      <c r="H51" s="44">
        <f t="shared" si="16"/>
        <v>1852.58293480011</v>
      </c>
      <c r="I51" s="44">
        <f t="shared" si="16"/>
        <v>30.876382246668502</v>
      </c>
      <c r="J51" s="44">
        <f t="shared" si="15"/>
        <v>77466.91650880741</v>
      </c>
      <c r="K51" s="44">
        <f t="shared" si="17"/>
        <v>1291.11527514679</v>
      </c>
      <c r="L51" s="44">
        <f t="shared" si="17"/>
        <v>21.518587919113166</v>
      </c>
    </row>
    <row r="52" spans="1:12" ht="15.75" customHeight="1">
      <c r="A52" s="45">
        <f t="shared" si="8"/>
        <v>47</v>
      </c>
      <c r="B52" s="47">
        <f>C2*(1-I2)/(1-I2*(SIN(A52*PI()/180))^2)^1.5</f>
        <v>6369834.368410006</v>
      </c>
      <c r="C52" s="47">
        <f>C2/(1-I2*(SIN(A52*PI()/180))^2)^0.5</f>
        <v>6389886.755134041</v>
      </c>
      <c r="D52" s="47">
        <f t="shared" si="11"/>
        <v>6379852.683495184</v>
      </c>
      <c r="E52" s="46">
        <f t="shared" si="12"/>
        <v>4357892.287986496</v>
      </c>
      <c r="F52" s="47">
        <f t="shared" si="13"/>
        <v>27381444.794147983</v>
      </c>
      <c r="G52" s="47">
        <f t="shared" si="14"/>
        <v>111174.58253544809</v>
      </c>
      <c r="H52" s="47">
        <f t="shared" si="16"/>
        <v>1852.9097089241347</v>
      </c>
      <c r="I52" s="47">
        <f t="shared" si="16"/>
        <v>30.88182848206891</v>
      </c>
      <c r="J52" s="47">
        <f t="shared" si="15"/>
        <v>76059.56887263329</v>
      </c>
      <c r="K52" s="47">
        <f t="shared" si="17"/>
        <v>1267.6594812105548</v>
      </c>
      <c r="L52" s="47">
        <f t="shared" si="17"/>
        <v>21.12765802017591</v>
      </c>
    </row>
    <row r="53" spans="1:12" ht="15.75" customHeight="1">
      <c r="A53" s="45">
        <f t="shared" si="8"/>
        <v>48</v>
      </c>
      <c r="B53" s="44">
        <f>C2*(1-I2)/(1-I2*(SIN(A53*PI()/180))^2)^1.5</f>
        <v>6370955.325211422</v>
      </c>
      <c r="C53" s="44">
        <f>C2/(1-I2*(SIN(A53*PI()/180))^2)^0.5</f>
        <v>6390261.5616820445</v>
      </c>
      <c r="D53" s="44">
        <f t="shared" si="11"/>
        <v>6380601.141420146</v>
      </c>
      <c r="E53" s="48">
        <f t="shared" si="12"/>
        <v>4275919.593560011</v>
      </c>
      <c r="F53" s="44">
        <f t="shared" si="13"/>
        <v>26866395.16493757</v>
      </c>
      <c r="G53" s="44">
        <f t="shared" si="14"/>
        <v>111194.14692240542</v>
      </c>
      <c r="H53" s="44">
        <f t="shared" si="16"/>
        <v>1853.2357820400903</v>
      </c>
      <c r="I53" s="44">
        <f t="shared" si="16"/>
        <v>30.887263034001503</v>
      </c>
      <c r="J53" s="44">
        <f t="shared" si="15"/>
        <v>74628.87545815992</v>
      </c>
      <c r="K53" s="44">
        <f t="shared" si="17"/>
        <v>1243.814590969332</v>
      </c>
      <c r="L53" s="44">
        <f t="shared" si="17"/>
        <v>20.7302431828222</v>
      </c>
    </row>
    <row r="54" spans="1:12" ht="15.75" customHeight="1">
      <c r="A54" s="45">
        <f t="shared" si="8"/>
        <v>49</v>
      </c>
      <c r="B54" s="47">
        <f>C2*(1-I2)/(1-I2*(SIN(A54*PI()/180))^2)^1.5</f>
        <v>6372072.503536153</v>
      </c>
      <c r="C54" s="47">
        <f>C2/(1-I2*(SIN(A54*PI()/180))^2)^0.5</f>
        <v>6390635.061107298</v>
      </c>
      <c r="D54" s="47">
        <f t="shared" si="11"/>
        <v>6381347.032799258</v>
      </c>
      <c r="E54" s="46">
        <f t="shared" si="12"/>
        <v>4192633.832822745</v>
      </c>
      <c r="F54" s="47">
        <f t="shared" si="13"/>
        <v>26343095.296775907</v>
      </c>
      <c r="G54" s="47">
        <f t="shared" si="14"/>
        <v>111213.64536250388</v>
      </c>
      <c r="H54" s="47">
        <f t="shared" si="16"/>
        <v>1853.5607560417313</v>
      </c>
      <c r="I54" s="47">
        <f t="shared" si="16"/>
        <v>30.89267926736219</v>
      </c>
      <c r="J54" s="47">
        <f t="shared" si="15"/>
        <v>73175.26471326641</v>
      </c>
      <c r="K54" s="47">
        <f t="shared" si="17"/>
        <v>1219.5877452211068</v>
      </c>
      <c r="L54" s="47">
        <f t="shared" si="17"/>
        <v>20.32646242035178</v>
      </c>
    </row>
    <row r="55" spans="1:13" ht="15.75" customHeight="1">
      <c r="A55" s="45">
        <f t="shared" si="8"/>
        <v>50</v>
      </c>
      <c r="B55" s="44">
        <f>C2*(1-I2)/(1-I2*(SIN(A55*PI()/180))^2)^1.5</f>
        <v>6373184.538212637</v>
      </c>
      <c r="C55" s="44">
        <f>C2/(1-I2*(SIN(A55*PI()/180))^2)^0.5</f>
        <v>6391006.797535857</v>
      </c>
      <c r="D55" s="44">
        <f t="shared" si="11"/>
        <v>6382089.44669905</v>
      </c>
      <c r="E55" s="48">
        <f t="shared" si="12"/>
        <v>4108059.9828784983</v>
      </c>
      <c r="F55" s="44">
        <f t="shared" si="13"/>
        <v>25811702.125434604</v>
      </c>
      <c r="G55" s="44">
        <f t="shared" si="14"/>
        <v>111233.0540290049</v>
      </c>
      <c r="H55" s="44">
        <f t="shared" si="16"/>
        <v>1853.8842338167483</v>
      </c>
      <c r="I55" s="44">
        <f t="shared" si="16"/>
        <v>30.89807056361247</v>
      </c>
      <c r="J55" s="44">
        <f t="shared" si="15"/>
        <v>71699.17257065167</v>
      </c>
      <c r="K55" s="44">
        <f t="shared" si="17"/>
        <v>1194.9862095108613</v>
      </c>
      <c r="L55" s="44">
        <f t="shared" si="17"/>
        <v>19.91643682518102</v>
      </c>
      <c r="M55" s="40" t="s">
        <v>2</v>
      </c>
    </row>
    <row r="56" spans="1:12" ht="15.75" customHeight="1">
      <c r="A56" s="45">
        <f t="shared" si="8"/>
        <v>51</v>
      </c>
      <c r="B56" s="47">
        <f>C2*(1-I2)/(1-I2*(SIN(A56*PI()/180))^2)^1.5</f>
        <v>6374290.069168464</v>
      </c>
      <c r="C56" s="47">
        <f>C2/(1-I2*(SIN(A56*PI()/180))^2)^0.5</f>
        <v>6391376.317007729</v>
      </c>
      <c r="D56" s="47">
        <f t="shared" si="11"/>
        <v>6382827.47579949</v>
      </c>
      <c r="E56" s="46">
        <f t="shared" si="12"/>
        <v>4022223.443165974</v>
      </c>
      <c r="F56" s="47">
        <f t="shared" si="13"/>
        <v>25272375.240293734</v>
      </c>
      <c r="G56" s="47">
        <f t="shared" si="14"/>
        <v>111252.34918416679</v>
      </c>
      <c r="H56" s="47">
        <f t="shared" si="16"/>
        <v>1854.2058197361132</v>
      </c>
      <c r="I56" s="47">
        <f t="shared" si="16"/>
        <v>30.90343032893522</v>
      </c>
      <c r="J56" s="47">
        <f t="shared" si="15"/>
        <v>70201.04233414926</v>
      </c>
      <c r="K56" s="47">
        <f t="shared" si="17"/>
        <v>1170.0173722358209</v>
      </c>
      <c r="L56" s="47">
        <f t="shared" si="17"/>
        <v>19.50028953726368</v>
      </c>
    </row>
    <row r="57" spans="1:12" ht="15.75" customHeight="1">
      <c r="A57" s="45">
        <f t="shared" si="8"/>
        <v>52</v>
      </c>
      <c r="B57" s="44">
        <f>C2*(1-I2)/(1-I2*(SIN(A57*PI()/180))^2)^1.5</f>
        <v>6375387.743112157</v>
      </c>
      <c r="C57" s="44">
        <f>C2/(1-I2*(SIN(A57*PI()/180))^2)^0.5</f>
        <v>6391743.168035006</v>
      </c>
      <c r="D57" s="44">
        <f t="shared" si="11"/>
        <v>6383560.217512736</v>
      </c>
      <c r="E57" s="48">
        <f t="shared" si="12"/>
        <v>3935150.0287351287</v>
      </c>
      <c r="F57" s="44">
        <f t="shared" si="13"/>
        <v>24725276.842095885</v>
      </c>
      <c r="G57" s="44">
        <f t="shared" si="14"/>
        <v>111271.50720859758</v>
      </c>
      <c r="H57" s="44">
        <f t="shared" si="16"/>
        <v>1854.5251201432932</v>
      </c>
      <c r="I57" s="44">
        <f t="shared" si="16"/>
        <v>30.90875200238822</v>
      </c>
      <c r="J57" s="44">
        <f t="shared" si="15"/>
        <v>68681.32456137746</v>
      </c>
      <c r="K57" s="44">
        <f t="shared" si="17"/>
        <v>1144.6887426896244</v>
      </c>
      <c r="L57" s="44">
        <f t="shared" si="17"/>
        <v>19.07814571149374</v>
      </c>
    </row>
    <row r="58" spans="1:12" ht="15.75" customHeight="1">
      <c r="A58" s="45">
        <f t="shared" si="8"/>
        <v>53</v>
      </c>
      <c r="B58" s="47">
        <f>C2*(1-I2)/(1-I2*(SIN(A58*PI()/180))^2)^1.5</f>
        <v>6376476.215212285</v>
      </c>
      <c r="C58" s="47">
        <f>C2/(1-I2*(SIN(A58*PI()/180))^2)^0.5</f>
        <v>6392106.902158089</v>
      </c>
      <c r="D58" s="47">
        <f t="shared" si="11"/>
        <v>6384286.775099105</v>
      </c>
      <c r="E58" s="46">
        <f t="shared" si="12"/>
        <v>3846865.9633126385</v>
      </c>
      <c r="F58" s="47">
        <f t="shared" si="13"/>
        <v>24170571.699375216</v>
      </c>
      <c r="G58" s="47">
        <f t="shared" si="14"/>
        <v>111290.5046305609</v>
      </c>
      <c r="H58" s="47">
        <f t="shared" si="16"/>
        <v>1854.8417438426816</v>
      </c>
      <c r="I58" s="47">
        <f t="shared" si="16"/>
        <v>30.914029064044694</v>
      </c>
      <c r="J58" s="47">
        <f t="shared" si="15"/>
        <v>67140.47694270893</v>
      </c>
      <c r="K58" s="47">
        <f t="shared" si="17"/>
        <v>1119.007949045149</v>
      </c>
      <c r="L58" s="47">
        <f t="shared" si="17"/>
        <v>18.650132484085816</v>
      </c>
    </row>
    <row r="59" spans="1:12" ht="15.75" customHeight="1">
      <c r="A59" s="45">
        <f t="shared" si="8"/>
        <v>54</v>
      </c>
      <c r="B59" s="44">
        <f>C2*(1-I2)/(1-I2*(SIN(A59*PI()/180))^2)^1.5</f>
        <v>6377554.150771748</v>
      </c>
      <c r="C59" s="44">
        <f>C2/(1-I2*(SIN(A59*PI()/180))^2)^0.5</f>
        <v>6392467.074499322</v>
      </c>
      <c r="D59" s="44">
        <f t="shared" si="11"/>
        <v>6385006.258778834</v>
      </c>
      <c r="E59" s="48">
        <f t="shared" si="12"/>
        <v>3757397.8721559118</v>
      </c>
      <c r="F59" s="44">
        <f t="shared" si="13"/>
        <v>23608427.103557866</v>
      </c>
      <c r="G59" s="44">
        <f t="shared" si="14"/>
        <v>111309.31815519786</v>
      </c>
      <c r="H59" s="44">
        <f t="shared" si="16"/>
        <v>1855.155302586631</v>
      </c>
      <c r="I59" s="44">
        <f t="shared" si="16"/>
        <v>30.919255043110518</v>
      </c>
      <c r="J59" s="44">
        <f t="shared" si="15"/>
        <v>65578.96417654963</v>
      </c>
      <c r="K59" s="44">
        <f t="shared" si="17"/>
        <v>1092.9827362758272</v>
      </c>
      <c r="L59" s="44">
        <f t="shared" si="17"/>
        <v>18.216378937930454</v>
      </c>
    </row>
    <row r="60" spans="1:12" ht="15.75" customHeight="1">
      <c r="A60" s="45">
        <f t="shared" si="8"/>
        <v>55</v>
      </c>
      <c r="B60" s="47">
        <f>C2*(1-I2)/(1-I2*(SIN(A60*PI()/180))^2)^1.5</f>
        <v>6378620.226895028</v>
      </c>
      <c r="C60" s="47">
        <f>C2/(1-I2*(SIN(A60*PI()/180))^2)^0.5</f>
        <v>6392823.24431332</v>
      </c>
      <c r="D60" s="47">
        <f t="shared" si="11"/>
        <v>6385717.786838191</v>
      </c>
      <c r="E60" s="46">
        <f t="shared" si="12"/>
        <v>3666772.7746953676</v>
      </c>
      <c r="F60" s="47">
        <f t="shared" si="13"/>
        <v>23039012.822732057</v>
      </c>
      <c r="G60" s="47">
        <f t="shared" si="14"/>
        <v>111327.924693626</v>
      </c>
      <c r="H60" s="47">
        <f t="shared" si="16"/>
        <v>1855.4654115604333</v>
      </c>
      <c r="I60" s="47">
        <f t="shared" si="16"/>
        <v>30.92442352600722</v>
      </c>
      <c r="J60" s="47">
        <f t="shared" si="15"/>
        <v>63997.25784092238</v>
      </c>
      <c r="K60" s="47">
        <f t="shared" si="17"/>
        <v>1066.620964015373</v>
      </c>
      <c r="L60" s="47">
        <f t="shared" si="17"/>
        <v>17.777016066922883</v>
      </c>
    </row>
    <row r="61" spans="1:12" ht="15.75" customHeight="1">
      <c r="A61" s="45">
        <f t="shared" si="8"/>
        <v>56</v>
      </c>
      <c r="B61" s="44">
        <f>C2*(1-I2)/(1-I2*(SIN(A61*PI()/180))^2)^1.5</f>
        <v>6379673.13414614</v>
      </c>
      <c r="C61" s="44">
        <f>C2/(1-I2*(SIN(A61*PI()/180))^2)^0.5</f>
        <v>6393174.975533282</v>
      </c>
      <c r="D61" s="44">
        <f t="shared" si="11"/>
        <v>6386420.486728468</v>
      </c>
      <c r="E61" s="48">
        <f t="shared" si="12"/>
        <v>3575018.0769649767</v>
      </c>
      <c r="F61" s="44">
        <f t="shared" si="13"/>
        <v>22462501.05408776</v>
      </c>
      <c r="G61" s="44">
        <f t="shared" si="14"/>
        <v>111346.30139187601</v>
      </c>
      <c r="H61" s="44">
        <f t="shared" si="16"/>
        <v>1855.7716898646001</v>
      </c>
      <c r="I61" s="44">
        <f t="shared" si="16"/>
        <v>30.92952816441</v>
      </c>
      <c r="J61" s="44">
        <f t="shared" si="15"/>
        <v>62395.836261354896</v>
      </c>
      <c r="K61" s="44">
        <f t="shared" si="17"/>
        <v>1039.930604355915</v>
      </c>
      <c r="L61" s="44">
        <f t="shared" si="17"/>
        <v>17.33217673926525</v>
      </c>
    </row>
    <row r="62" spans="1:12" ht="15.75" customHeight="1">
      <c r="A62" s="45">
        <f t="shared" si="8"/>
        <v>57</v>
      </c>
      <c r="B62" s="47">
        <f>C2*(1-I2)/(1-I2*(SIN(A62*PI()/180))^2)^1.5</f>
        <v>6380711.57819511</v>
      </c>
      <c r="C62" s="47">
        <f>C2/(1-I2*(SIN(A62*PI()/180))^2)^0.5</f>
        <v>6393521.837312575</v>
      </c>
      <c r="D62" s="47">
        <f t="shared" si="11"/>
        <v>6387113.496156431</v>
      </c>
      <c r="E62" s="46">
        <f t="shared" si="12"/>
        <v>3482161.5638214247</v>
      </c>
      <c r="F62" s="47">
        <f t="shared" si="13"/>
        <v>21879066.375028268</v>
      </c>
      <c r="G62" s="47">
        <f t="shared" si="14"/>
        <v>111364.4256596283</v>
      </c>
      <c r="H62" s="47">
        <f t="shared" si="16"/>
        <v>1856.0737609938049</v>
      </c>
      <c r="I62" s="47">
        <f t="shared" si="16"/>
        <v>30.93456268323008</v>
      </c>
      <c r="J62" s="47">
        <f t="shared" si="15"/>
        <v>60775.18437507852</v>
      </c>
      <c r="K62" s="47">
        <f t="shared" si="17"/>
        <v>1012.919739584642</v>
      </c>
      <c r="L62" s="47">
        <f t="shared" si="17"/>
        <v>16.88199565974403</v>
      </c>
    </row>
    <row r="63" spans="1:12" ht="15.75" customHeight="1">
      <c r="A63" s="45">
        <f t="shared" si="8"/>
        <v>58</v>
      </c>
      <c r="B63" s="44">
        <f>C2*(1-I2)/(1-I2*(SIN(A63*PI()/180))^2)^1.5</f>
        <v>6381734.28145067</v>
      </c>
      <c r="C63" s="44">
        <f>C2/(1-I2*(SIN(A63*PI()/180))^2)^0.5</f>
        <v>6393863.404560882</v>
      </c>
      <c r="D63" s="44">
        <f t="shared" si="11"/>
        <v>6387795.964164719</v>
      </c>
      <c r="E63" s="48">
        <f t="shared" si="12"/>
        <v>3388231.390952517</v>
      </c>
      <c r="F63" s="44">
        <f t="shared" si="13"/>
        <v>21288885.692957506</v>
      </c>
      <c r="G63" s="44">
        <f t="shared" si="14"/>
        <v>111382.27519870868</v>
      </c>
      <c r="H63" s="44">
        <f t="shared" si="16"/>
        <v>1856.3712533118114</v>
      </c>
      <c r="I63" s="44">
        <f t="shared" si="16"/>
        <v>30.93952088853019</v>
      </c>
      <c r="J63" s="44">
        <f t="shared" si="15"/>
        <v>59135.79359154862</v>
      </c>
      <c r="K63" s="44">
        <f t="shared" si="17"/>
        <v>985.5965598591437</v>
      </c>
      <c r="L63" s="44">
        <f t="shared" si="17"/>
        <v>16.426609330985727</v>
      </c>
    </row>
    <row r="64" spans="1:12" ht="15.75" customHeight="1">
      <c r="A64" s="45">
        <f t="shared" si="8"/>
        <v>59</v>
      </c>
      <c r="B64" s="47">
        <f>C2*(1-I2)/(1-I2*(SIN(A64*PI()/180))^2)^1.5</f>
        <v>6382739.984676951</v>
      </c>
      <c r="C64" s="47">
        <f>C2/(1-I2*(SIN(A64*PI()/180))^2)^0.5</f>
        <v>6394199.258474215</v>
      </c>
      <c r="D64" s="47">
        <f t="shared" si="11"/>
        <v>6388467.052200792</v>
      </c>
      <c r="E64" s="46">
        <f t="shared" si="12"/>
        <v>3293256.076675857</v>
      </c>
      <c r="F64" s="47">
        <f t="shared" si="13"/>
        <v>20692138.193749633</v>
      </c>
      <c r="G64" s="47">
        <f t="shared" si="14"/>
        <v>111399.82803130521</v>
      </c>
      <c r="H64" s="47">
        <f t="shared" si="16"/>
        <v>1856.6638005217535</v>
      </c>
      <c r="I64" s="47">
        <f t="shared" si="16"/>
        <v>30.944396675362558</v>
      </c>
      <c r="J64" s="47">
        <f t="shared" si="15"/>
        <v>57478.16164930454</v>
      </c>
      <c r="K64" s="47">
        <f t="shared" si="17"/>
        <v>957.9693608217423</v>
      </c>
      <c r="L64" s="47">
        <f t="shared" si="17"/>
        <v>15.966156013695704</v>
      </c>
    </row>
    <row r="65" spans="1:13" ht="15.75" customHeight="1">
      <c r="A65" s="45">
        <f t="shared" si="8"/>
        <v>60</v>
      </c>
      <c r="B65" s="44">
        <f>C2*(1-I2)/(1-I2*(SIN(A65*PI()/180))^2)^1.5</f>
        <v>6383727.448591892</v>
      </c>
      <c r="C65" s="44">
        <f>C2/(1-I2*(SIN(A65*PI()/180))^2)^0.5</f>
        <v>6394528.987058071</v>
      </c>
      <c r="D65" s="44">
        <f t="shared" si="11"/>
        <v>6389125.935172911</v>
      </c>
      <c r="E65" s="48">
        <f t="shared" si="12"/>
        <v>3197264.4935290366</v>
      </c>
      <c r="F65" s="44">
        <f t="shared" si="13"/>
        <v>20089005.288908623</v>
      </c>
      <c r="G65" s="44">
        <f t="shared" si="14"/>
        <v>111417.06252786556</v>
      </c>
      <c r="H65" s="44">
        <f t="shared" si="16"/>
        <v>1856.9510421310927</v>
      </c>
      <c r="I65" s="44">
        <f t="shared" si="16"/>
        <v>30.94918403551821</v>
      </c>
      <c r="J65" s="44">
        <f t="shared" si="15"/>
        <v>55802.79246919062</v>
      </c>
      <c r="K65" s="44">
        <f t="shared" si="17"/>
        <v>930.046541153177</v>
      </c>
      <c r="L65" s="44">
        <f t="shared" si="17"/>
        <v>15.500775685886284</v>
      </c>
      <c r="M65" s="40" t="s">
        <v>2</v>
      </c>
    </row>
    <row r="66" spans="1:12" ht="15.75" customHeight="1">
      <c r="A66" s="45">
        <f t="shared" si="8"/>
        <v>61</v>
      </c>
      <c r="B66" s="47">
        <f>C2*(1-I2)/(1-I2*(SIN(A66*PI()/180))^2)^1.5</f>
        <v>6384695.455445125</v>
      </c>
      <c r="C66" s="47">
        <f>C2/(1-I2*(SIN(A66*PI()/180))^2)^0.5</f>
        <v>6394852.185643046</v>
      </c>
      <c r="D66" s="47">
        <f t="shared" si="11"/>
        <v>6389771.802491735</v>
      </c>
      <c r="E66" s="46">
        <f t="shared" si="12"/>
        <v>3100285.859653064</v>
      </c>
      <c r="F66" s="47">
        <f t="shared" si="13"/>
        <v>19479670.561428763</v>
      </c>
      <c r="G66" s="47">
        <f t="shared" si="14"/>
        <v>111433.95743463635</v>
      </c>
      <c r="H66" s="47">
        <f t="shared" si="16"/>
        <v>1857.2326239106058</v>
      </c>
      <c r="I66" s="47">
        <f t="shared" si="16"/>
        <v>30.953877065176762</v>
      </c>
      <c r="J66" s="47">
        <f t="shared" si="15"/>
        <v>54110.196003968784</v>
      </c>
      <c r="K66" s="47">
        <f t="shared" si="17"/>
        <v>901.8366000661464</v>
      </c>
      <c r="L66" s="47">
        <f t="shared" si="17"/>
        <v>15.03061000110244</v>
      </c>
    </row>
    <row r="67" spans="1:12" ht="15.75" customHeight="1">
      <c r="A67" s="45">
        <f t="shared" si="8"/>
        <v>62</v>
      </c>
      <c r="B67" s="44">
        <f>C2*(1-I2)/(1-I2*(SIN(A67*PI()/180))^2)^1.5</f>
        <v>6385642.810573071</v>
      </c>
      <c r="C67" s="44">
        <f>C2/(1-I2*(SIN(A67*PI()/180))^2)^0.5</f>
        <v>6395168.457392212</v>
      </c>
      <c r="D67" s="44">
        <f t="shared" si="11"/>
        <v>6390403.859096095</v>
      </c>
      <c r="E67" s="48">
        <f t="shared" si="12"/>
        <v>3002349.7299709567</v>
      </c>
      <c r="F67" s="44">
        <f t="shared" si="13"/>
        <v>18864319.71036811</v>
      </c>
      <c r="G67" s="44">
        <f t="shared" si="14"/>
        <v>111450.49190080466</v>
      </c>
      <c r="H67" s="44">
        <f t="shared" si="16"/>
        <v>1857.5081983467442</v>
      </c>
      <c r="I67" s="44">
        <f t="shared" si="16"/>
        <v>30.958469972445737</v>
      </c>
      <c r="J67" s="44">
        <f t="shared" si="15"/>
        <v>52400.888084355865</v>
      </c>
      <c r="K67" s="44">
        <f t="shared" si="17"/>
        <v>873.3481347392644</v>
      </c>
      <c r="L67" s="44">
        <f t="shared" si="17"/>
        <v>14.555802245654407</v>
      </c>
    </row>
    <row r="68" spans="1:12" ht="15.75" customHeight="1">
      <c r="A68" s="45">
        <f t="shared" si="8"/>
        <v>63</v>
      </c>
      <c r="B68" s="47">
        <f>C2*(1-I2)/(1-I2*(SIN(A68*PI()/180))^2)^1.5</f>
        <v>6386568.343929016</v>
      </c>
      <c r="C68" s="47">
        <f>C2/(1-I2*(SIN(A68*PI()/180))^2)^0.5</f>
        <v>6395477.413799553</v>
      </c>
      <c r="D68" s="47">
        <f t="shared" si="11"/>
        <v>6391021.326461463</v>
      </c>
      <c r="E68" s="46">
        <f t="shared" si="12"/>
        <v>2903485.9871638436</v>
      </c>
      <c r="F68" s="47">
        <f t="shared" si="13"/>
        <v>18243140.494149677</v>
      </c>
      <c r="G68" s="47">
        <f t="shared" si="14"/>
        <v>111466.64550520293</v>
      </c>
      <c r="H68" s="47">
        <f t="shared" si="16"/>
        <v>1857.7774250867155</v>
      </c>
      <c r="I68" s="47">
        <f t="shared" si="16"/>
        <v>30.96295708477859</v>
      </c>
      <c r="J68" s="47">
        <f t="shared" si="15"/>
        <v>50675.39026152688</v>
      </c>
      <c r="K68" s="47">
        <f t="shared" si="17"/>
        <v>844.5898376921147</v>
      </c>
      <c r="L68" s="47">
        <f t="shared" si="17"/>
        <v>14.076497294868577</v>
      </c>
    </row>
    <row r="69" spans="1:12" ht="15.75" customHeight="1">
      <c r="A69" s="45">
        <f t="shared" si="8"/>
        <v>64</v>
      </c>
      <c r="B69" s="44">
        <f>C2*(1-I2)/(1-I2*(SIN(A69*PI()/180))^2)^1.5</f>
        <v>6387470.9115859205</v>
      </c>
      <c r="C69" s="44">
        <f>C2/(1-I2*(SIN(A69*PI()/180))^2)^0.5</f>
        <v>6395778.6751788035</v>
      </c>
      <c r="D69" s="44">
        <f t="shared" si="11"/>
        <v>6391623.4435897535</v>
      </c>
      <c r="E69" s="48">
        <f t="shared" si="12"/>
        <v>2803724.8324472588</v>
      </c>
      <c r="F69" s="44">
        <f t="shared" si="13"/>
        <v>17616322.672607165</v>
      </c>
      <c r="G69" s="44">
        <f t="shared" si="14"/>
        <v>111482.39828253792</v>
      </c>
      <c r="H69" s="44">
        <f t="shared" si="16"/>
        <v>1858.039971375632</v>
      </c>
      <c r="I69" s="44">
        <f t="shared" si="16"/>
        <v>30.967332856260533</v>
      </c>
      <c r="J69" s="44">
        <f t="shared" si="15"/>
        <v>48934.22964613101</v>
      </c>
      <c r="K69" s="44">
        <f t="shared" si="17"/>
        <v>815.5704941021835</v>
      </c>
      <c r="L69" s="44">
        <f t="shared" si="17"/>
        <v>13.592841568369725</v>
      </c>
    </row>
    <row r="70" spans="1:12" ht="15.75" customHeight="1">
      <c r="A70" s="45">
        <f t="shared" si="8"/>
        <v>65</v>
      </c>
      <c r="B70" s="47">
        <f>C2*(1-I2)/(1-I2*(SIN(A70*PI()/180))^2)^1.5</f>
        <v>6388349.397209779</v>
      </c>
      <c r="C70" s="47">
        <f>C2/(1-I2*(SIN(A70*PI()/180))^2)^0.5</f>
        <v>6396071.871142001</v>
      </c>
      <c r="D70" s="47">
        <f t="shared" si="11"/>
        <v>6392209.467979005</v>
      </c>
      <c r="E70" s="46">
        <f t="shared" si="12"/>
        <v>2703096.7761506154</v>
      </c>
      <c r="F70" s="47">
        <f t="shared" si="13"/>
        <v>16984057.947794054</v>
      </c>
      <c r="G70" s="47">
        <f t="shared" si="14"/>
        <v>111497.7307491057</v>
      </c>
      <c r="H70" s="47">
        <f aca="true" t="shared" si="18" ref="H70:I89">G70/60</f>
        <v>1858.295512485095</v>
      </c>
      <c r="I70" s="47">
        <f t="shared" si="18"/>
        <v>30.971591874751585</v>
      </c>
      <c r="J70" s="47">
        <f t="shared" si="15"/>
        <v>47177.93874387237</v>
      </c>
      <c r="K70" s="47">
        <f aca="true" t="shared" si="19" ref="K70:L89">J70/60</f>
        <v>786.2989790645395</v>
      </c>
      <c r="L70" s="47">
        <f t="shared" si="19"/>
        <v>13.104982984408991</v>
      </c>
    </row>
    <row r="71" spans="1:12" ht="15.75" customHeight="1">
      <c r="A71" s="45">
        <f t="shared" si="8"/>
        <v>66</v>
      </c>
      <c r="B71" s="44">
        <f>C2*(1-I2)/(1-I2*(SIN(A71*PI()/180))^2)^1.5</f>
        <v>6389202.713501325</v>
      </c>
      <c r="C71" s="44">
        <f>C2/(1-I2*(SIN(A71*PI()/180))^2)^0.5</f>
        <v>6396356.641067095</v>
      </c>
      <c r="D71" s="44">
        <f t="shared" si="11"/>
        <v>6392778.676571566</v>
      </c>
      <c r="E71" s="48">
        <f t="shared" si="12"/>
        <v>2601632.6281032315</v>
      </c>
      <c r="F71" s="44">
        <f t="shared" si="13"/>
        <v>16346539.903577236</v>
      </c>
      <c r="G71" s="44">
        <f t="shared" si="14"/>
        <v>111512.62392795409</v>
      </c>
      <c r="H71" s="44">
        <f t="shared" si="18"/>
        <v>1858.5437321325683</v>
      </c>
      <c r="I71" s="44">
        <f t="shared" si="18"/>
        <v>30.97572886887614</v>
      </c>
      <c r="J71" s="44">
        <f t="shared" si="15"/>
        <v>45407.055287714546</v>
      </c>
      <c r="K71" s="44">
        <f t="shared" si="19"/>
        <v>756.7842547952424</v>
      </c>
      <c r="L71" s="44">
        <f t="shared" si="19"/>
        <v>12.61307091325404</v>
      </c>
    </row>
    <row r="72" spans="1:12" ht="15.75" customHeight="1">
      <c r="A72" s="45">
        <f aca="true" t="shared" si="20" ref="A72:A95">A71+1</f>
        <v>67</v>
      </c>
      <c r="B72" s="47">
        <f>C2*(1-I2)/(1-I2*(SIN(A72*PI()/180))^2)^1.5</f>
        <v>6390029.803603931</v>
      </c>
      <c r="C72" s="47">
        <f>C2/(1-I2*(SIN(A72*PI()/180))^2)^0.5</f>
        <v>6396632.634553965</v>
      </c>
      <c r="D72" s="47">
        <f t="shared" si="11"/>
        <v>6393330.366679433</v>
      </c>
      <c r="E72" s="46">
        <f t="shared" si="12"/>
        <v>2499363.487830588</v>
      </c>
      <c r="F72" s="47">
        <f t="shared" si="13"/>
        <v>15703963.944038276</v>
      </c>
      <c r="G72" s="47">
        <f t="shared" si="14"/>
        <v>111527.05937345522</v>
      </c>
      <c r="H72" s="47">
        <f t="shared" si="18"/>
        <v>1858.7843228909203</v>
      </c>
      <c r="I72" s="47">
        <f t="shared" si="18"/>
        <v>30.979738714848672</v>
      </c>
      <c r="J72" s="47">
        <f t="shared" si="15"/>
        <v>43622.12206677299</v>
      </c>
      <c r="K72" s="47">
        <f t="shared" si="19"/>
        <v>727.0353677795498</v>
      </c>
      <c r="L72" s="47">
        <f t="shared" si="19"/>
        <v>12.117256129659163</v>
      </c>
    </row>
    <row r="73" spans="1:12" ht="15.75" customHeight="1">
      <c r="A73" s="45">
        <f t="shared" si="20"/>
        <v>68</v>
      </c>
      <c r="B73" s="44">
        <f>C2*(1-I2)/(1-I2*(SIN(A73*PI()/180))^2)^1.5</f>
        <v>6390829.642475579</v>
      </c>
      <c r="C73" s="44">
        <f>C2/(1-I2*(SIN(A73*PI()/180))^2)^0.5</f>
        <v>6396899.511868212</v>
      </c>
      <c r="D73" s="44">
        <f t="shared" si="11"/>
        <v>6393863.85688536</v>
      </c>
      <c r="E73" s="48">
        <f t="shared" si="12"/>
        <v>2396320.7345648613</v>
      </c>
      <c r="F73" s="44">
        <f t="shared" si="13"/>
        <v>15056527.23070773</v>
      </c>
      <c r="G73" s="44">
        <f t="shared" si="14"/>
        <v>111541.0191952509</v>
      </c>
      <c r="H73" s="44">
        <f t="shared" si="18"/>
        <v>1859.016986587515</v>
      </c>
      <c r="I73" s="44">
        <f t="shared" si="18"/>
        <v>30.98361644312525</v>
      </c>
      <c r="J73" s="44">
        <f t="shared" si="15"/>
        <v>41823.68675196591</v>
      </c>
      <c r="K73" s="44">
        <f t="shared" si="19"/>
        <v>697.0614458660986</v>
      </c>
      <c r="L73" s="44">
        <f t="shared" si="19"/>
        <v>11.617690764434975</v>
      </c>
    </row>
    <row r="74" spans="1:12" ht="15.75" customHeight="1">
      <c r="A74" s="45">
        <f t="shared" si="20"/>
        <v>69</v>
      </c>
      <c r="B74" s="47">
        <f>C2*(1-I2)/(1-I2*(SIN(A74*PI()/180))^2)^1.5</f>
        <v>6391601.238222813</v>
      </c>
      <c r="C74" s="47">
        <f>C2/(1-I2*(SIN(A74*PI()/180))^2)^0.5</f>
        <v>6397156.944372101</v>
      </c>
      <c r="D74" s="47">
        <f t="shared" si="11"/>
        <v>6394378.487918462</v>
      </c>
      <c r="E74" s="46">
        <f t="shared" si="12"/>
        <v>2292536.017074109</v>
      </c>
      <c r="F74" s="47">
        <f t="shared" si="13"/>
        <v>14404428.618660051</v>
      </c>
      <c r="G74" s="47">
        <f t="shared" si="14"/>
        <v>111554.48608153452</v>
      </c>
      <c r="H74" s="47">
        <f t="shared" si="18"/>
        <v>1859.241434692242</v>
      </c>
      <c r="I74" s="47">
        <f t="shared" si="18"/>
        <v>30.987357244870697</v>
      </c>
      <c r="J74" s="47">
        <f t="shared" si="15"/>
        <v>40012.301718500144</v>
      </c>
      <c r="K74" s="47">
        <f t="shared" si="19"/>
        <v>666.8716953083357</v>
      </c>
      <c r="L74" s="47">
        <f t="shared" si="19"/>
        <v>11.114528255138929</v>
      </c>
    </row>
    <row r="75" spans="1:13" ht="15.75" customHeight="1">
      <c r="A75" s="45">
        <f t="shared" si="20"/>
        <v>70</v>
      </c>
      <c r="B75" s="44">
        <f>C2*(1-I2)/(1-I2*(SIN(A75*PI()/180))^2)^1.5</f>
        <v>6392343.63339463</v>
      </c>
      <c r="C75" s="44">
        <f>C2/(1-I2*(SIN(A75*PI()/180))^2)^0.5</f>
        <v>6397404.6149420235</v>
      </c>
      <c r="D75" s="44">
        <f t="shared" si="11"/>
        <v>6394873.623502975</v>
      </c>
      <c r="E75" s="48">
        <f t="shared" si="12"/>
        <v>2188041.243314766</v>
      </c>
      <c r="F75" s="44">
        <f t="shared" si="13"/>
        <v>13747868.591498291</v>
      </c>
      <c r="G75" s="44">
        <f t="shared" si="14"/>
        <v>111567.44332163363</v>
      </c>
      <c r="H75" s="44">
        <f t="shared" si="18"/>
        <v>1859.4573886938938</v>
      </c>
      <c r="I75" s="44">
        <f t="shared" si="18"/>
        <v>30.990956478231563</v>
      </c>
      <c r="J75" s="44">
        <f t="shared" si="15"/>
        <v>38188.52386527303</v>
      </c>
      <c r="K75" s="44">
        <f t="shared" si="19"/>
        <v>636.4753977545505</v>
      </c>
      <c r="L75" s="44">
        <f t="shared" si="19"/>
        <v>10.607923295909176</v>
      </c>
      <c r="M75" s="40" t="s">
        <v>2</v>
      </c>
    </row>
    <row r="76" spans="1:12" ht="15.75" customHeight="1">
      <c r="A76" s="45">
        <f t="shared" si="20"/>
        <v>71</v>
      </c>
      <c r="B76" s="47">
        <f>C2*(1-I2)/(1-I2*(SIN(A76*PI()/180))^2)^1.5</f>
        <v>6393055.9062343035</v>
      </c>
      <c r="C76" s="47">
        <f>C2/(1-I2*(SIN(A76*PI()/180))^2)^0.5</f>
        <v>6397642.218371932</v>
      </c>
      <c r="D76" s="47">
        <f t="shared" si="11"/>
        <v>6395348.651178965</v>
      </c>
      <c r="E76" s="46">
        <f t="shared" si="12"/>
        <v>2082868.5699125403</v>
      </c>
      <c r="F76" s="47">
        <f t="shared" si="13"/>
        <v>13087049.195260629</v>
      </c>
      <c r="G76" s="47">
        <f t="shared" si="14"/>
        <v>111579.87482785847</v>
      </c>
      <c r="H76" s="47">
        <f t="shared" si="18"/>
        <v>1859.6645804643078</v>
      </c>
      <c r="I76" s="47">
        <f t="shared" si="18"/>
        <v>30.99440967440513</v>
      </c>
      <c r="J76" s="47">
        <f t="shared" si="15"/>
        <v>36352.914431279525</v>
      </c>
      <c r="K76" s="47">
        <f t="shared" si="19"/>
        <v>605.881907187992</v>
      </c>
      <c r="L76" s="47">
        <f t="shared" si="19"/>
        <v>10.098031786466533</v>
      </c>
    </row>
    <row r="77" spans="1:12" ht="15.75" customHeight="1">
      <c r="A77" s="45">
        <f t="shared" si="20"/>
        <v>72</v>
      </c>
      <c r="B77" s="44">
        <f>C2*(1-I2)/(1-I2*(SIN(A77*PI()/180))^2)^1.5</f>
        <v>6393737.171887208</v>
      </c>
      <c r="C77" s="44">
        <f>C2/(1-I2*(SIN(A77*PI()/180))^2)^0.5</f>
        <v>6397869.461762126</v>
      </c>
      <c r="D77" s="44">
        <f t="shared" si="11"/>
        <v>6395802.983093718</v>
      </c>
      <c r="E77" s="48">
        <f t="shared" si="12"/>
        <v>1977050.3914769948</v>
      </c>
      <c r="F77" s="44">
        <f t="shared" si="13"/>
        <v>12422173.971281903</v>
      </c>
      <c r="G77" s="44">
        <f t="shared" si="14"/>
        <v>111591.7651565824</v>
      </c>
      <c r="H77" s="44">
        <f t="shared" si="18"/>
        <v>1859.8627526097068</v>
      </c>
      <c r="I77" s="44">
        <f t="shared" si="18"/>
        <v>30.997712543495116</v>
      </c>
      <c r="J77" s="44">
        <f t="shared" si="15"/>
        <v>34506.0388091164</v>
      </c>
      <c r="K77" s="44">
        <f t="shared" si="19"/>
        <v>575.1006468186066</v>
      </c>
      <c r="L77" s="44">
        <f t="shared" si="19"/>
        <v>9.58501078031011</v>
      </c>
    </row>
    <row r="78" spans="1:12" ht="15.75" customHeight="1">
      <c r="A78" s="45">
        <f t="shared" si="20"/>
        <v>73</v>
      </c>
      <c r="B78" s="47">
        <f>C2*(1-I2)/(1-I2*(SIN(A78*PI()/180))^2)^1.5</f>
        <v>6394386.583562725</v>
      </c>
      <c r="C78" s="47">
        <f>C2/(1-I2*(SIN(A78*PI()/180))^2)^0.5</f>
        <v>6398086.0648928555</v>
      </c>
      <c r="D78" s="47">
        <f t="shared" si="11"/>
        <v>6396236.056762641</v>
      </c>
      <c r="E78" s="46">
        <f t="shared" si="12"/>
        <v>1870619.3297555107</v>
      </c>
      <c r="F78" s="47">
        <f t="shared" si="13"/>
        <v>11753447.88804595</v>
      </c>
      <c r="G78" s="47">
        <f t="shared" si="14"/>
        <v>111603.09952852107</v>
      </c>
      <c r="H78" s="47">
        <f t="shared" si="18"/>
        <v>1860.0516588086844</v>
      </c>
      <c r="I78" s="47">
        <f t="shared" si="18"/>
        <v>31.00086098014474</v>
      </c>
      <c r="J78" s="47">
        <f t="shared" si="15"/>
        <v>32648.466355683195</v>
      </c>
      <c r="K78" s="47">
        <f t="shared" si="19"/>
        <v>544.1411059280532</v>
      </c>
      <c r="L78" s="47">
        <f t="shared" si="19"/>
        <v>9.06901843213422</v>
      </c>
    </row>
    <row r="79" spans="1:12" ht="15.75" customHeight="1">
      <c r="A79" s="45">
        <f t="shared" si="20"/>
        <v>74</v>
      </c>
      <c r="B79" s="44">
        <f>C2*(1-I2)/(1-I2*(SIN(A79*PI()/180))^2)^1.5</f>
        <v>6395003.333648432</v>
      </c>
      <c r="C79" s="44">
        <f>C2/(1-I2*(SIN(A79*PI()/180))^2)^0.5</f>
        <v>6398291.760582202</v>
      </c>
      <c r="D79" s="44">
        <f t="shared" si="11"/>
        <v>6396647.335798534</v>
      </c>
      <c r="E79" s="48">
        <f t="shared" si="12"/>
        <v>1763608.2226325704</v>
      </c>
      <c r="F79" s="44">
        <f t="shared" si="13"/>
        <v>11081077.272066072</v>
      </c>
      <c r="G79" s="44">
        <f t="shared" si="14"/>
        <v>111613.8638481786</v>
      </c>
      <c r="H79" s="44">
        <f t="shared" si="18"/>
        <v>1860.2310641363101</v>
      </c>
      <c r="I79" s="44">
        <f t="shared" si="18"/>
        <v>31.003851068938502</v>
      </c>
      <c r="J79" s="44">
        <f t="shared" si="15"/>
        <v>30780.77020018353</v>
      </c>
      <c r="K79" s="44">
        <f t="shared" si="19"/>
        <v>513.0128366697255</v>
      </c>
      <c r="L79" s="44">
        <f t="shared" si="19"/>
        <v>8.550213944495425</v>
      </c>
    </row>
    <row r="80" spans="1:12" ht="15.75" customHeight="1">
      <c r="A80" s="45">
        <f t="shared" si="20"/>
        <v>75</v>
      </c>
      <c r="B80" s="47">
        <f>C2*(1-I2)/(1-I2*(SIN(A80*PI()/180))^2)^1.5</f>
        <v>6395586.654774776</v>
      </c>
      <c r="C80" s="47">
        <f>C2/(1-I2*(SIN(A80*PI()/180))^2)^0.5</f>
        <v>6398486.295027715</v>
      </c>
      <c r="D80" s="47">
        <f t="shared" si="11"/>
        <v>6397036.310608105</v>
      </c>
      <c r="E80" s="46">
        <f t="shared" si="12"/>
        <v>1656050.112980639</v>
      </c>
      <c r="F80" s="47">
        <f t="shared" si="13"/>
        <v>10405269.737833045</v>
      </c>
      <c r="G80" s="47">
        <f t="shared" si="14"/>
        <v>111624.04472242974</v>
      </c>
      <c r="H80" s="47">
        <f t="shared" si="18"/>
        <v>1860.400745373829</v>
      </c>
      <c r="I80" s="47">
        <f t="shared" si="18"/>
        <v>31.006679089563818</v>
      </c>
      <c r="J80" s="47">
        <f t="shared" si="15"/>
        <v>28903.52704953624</v>
      </c>
      <c r="K80" s="47">
        <f t="shared" si="19"/>
        <v>481.72545082560396</v>
      </c>
      <c r="L80" s="47">
        <f t="shared" si="19"/>
        <v>8.028757513760066</v>
      </c>
    </row>
    <row r="81" spans="1:12" ht="15.75" customHeight="1">
      <c r="A81" s="45">
        <f t="shared" si="20"/>
        <v>76</v>
      </c>
      <c r="B81" s="44">
        <f>C2*(1-I2)/(1-I2*(SIN(A81*PI()/180))^2)^1.5</f>
        <v>6396135.820828549</v>
      </c>
      <c r="C81" s="44">
        <f>C2/(1-I2*(SIN(A81*PI()/180))^2)^0.5</f>
        <v>6398669.42813131</v>
      </c>
      <c r="D81" s="44">
        <f t="shared" si="11"/>
        <v>6397402.49905469</v>
      </c>
      <c r="E81" s="48">
        <f t="shared" si="12"/>
        <v>1547978.2373691695</v>
      </c>
      <c r="F81" s="44">
        <f t="shared" si="13"/>
        <v>9726234.11687172</v>
      </c>
      <c r="G81" s="44">
        <f t="shared" si="14"/>
        <v>111633.62947820828</v>
      </c>
      <c r="H81" s="44">
        <f t="shared" si="18"/>
        <v>1860.5604913034715</v>
      </c>
      <c r="I81" s="44">
        <f t="shared" si="18"/>
        <v>31.009341521724526</v>
      </c>
      <c r="J81" s="44">
        <f t="shared" si="15"/>
        <v>27017.316991310334</v>
      </c>
      <c r="K81" s="44">
        <f t="shared" si="19"/>
        <v>450.2886165218389</v>
      </c>
      <c r="L81" s="44">
        <f t="shared" si="19"/>
        <v>7.504810275363981</v>
      </c>
    </row>
    <row r="82" spans="1:12" ht="15.75" customHeight="1">
      <c r="A82" s="45">
        <f t="shared" si="20"/>
        <v>77</v>
      </c>
      <c r="B82" s="47">
        <f>C2*(1-I2)/(1-I2*(SIN(A82*PI()/180))^2)^1.5</f>
        <v>6396650.147913539</v>
      </c>
      <c r="C82" s="47">
        <f>C2/(1-I2*(SIN(A82*PI()/180))^2)^0.5</f>
        <v>6398840.933806952</v>
      </c>
      <c r="D82" s="47">
        <f t="shared" si="11"/>
        <v>6397745.4470861405</v>
      </c>
      <c r="E82" s="46">
        <f t="shared" si="12"/>
        <v>1439426.014638555</v>
      </c>
      <c r="F82" s="47">
        <f t="shared" si="13"/>
        <v>9044180.385949036</v>
      </c>
      <c r="G82" s="47">
        <f t="shared" si="14"/>
        <v>111642.60617927354</v>
      </c>
      <c r="H82" s="47">
        <f t="shared" si="18"/>
        <v>1860.7101029878925</v>
      </c>
      <c r="I82" s="47">
        <f t="shared" si="18"/>
        <v>31.011835049798208</v>
      </c>
      <c r="J82" s="47">
        <f t="shared" si="15"/>
        <v>25122.72329430288</v>
      </c>
      <c r="K82" s="47">
        <f t="shared" si="19"/>
        <v>418.712054905048</v>
      </c>
      <c r="L82" s="47">
        <f t="shared" si="19"/>
        <v>6.978534248417466</v>
      </c>
    </row>
    <row r="83" spans="1:12" ht="15.75" customHeight="1">
      <c r="A83" s="45">
        <f t="shared" si="20"/>
        <v>78</v>
      </c>
      <c r="B83" s="44">
        <f>C2*(1-I2)/(1-I2*(SIN(A83*PI()/180))^2)^1.5</f>
        <v>6397128.995256793</v>
      </c>
      <c r="C83" s="44">
        <f>C2/(1-I2*(SIN(A83*PI()/180))^2)^0.5</f>
        <v>6399000.60027068</v>
      </c>
      <c r="D83" s="44">
        <f t="shared" si="11"/>
        <v>6398064.729326922</v>
      </c>
      <c r="E83" s="48">
        <f t="shared" si="12"/>
        <v>1330427.0343461349</v>
      </c>
      <c r="F83" s="44">
        <f t="shared" si="13"/>
        <v>8359319.594478145</v>
      </c>
      <c r="G83" s="44">
        <f t="shared" si="14"/>
        <v>111650.96364202775</v>
      </c>
      <c r="H83" s="44">
        <f t="shared" si="18"/>
        <v>1860.849394033796</v>
      </c>
      <c r="I83" s="44">
        <f t="shared" si="18"/>
        <v>31.014156567229932</v>
      </c>
      <c r="J83" s="44">
        <f t="shared" si="15"/>
        <v>23220.332206883737</v>
      </c>
      <c r="K83" s="44">
        <f t="shared" si="19"/>
        <v>387.0055367813956</v>
      </c>
      <c r="L83" s="44">
        <f t="shared" si="19"/>
        <v>6.450092279689927</v>
      </c>
    </row>
    <row r="84" spans="1:12" ht="15.75" customHeight="1">
      <c r="A84" s="45">
        <f t="shared" si="20"/>
        <v>79</v>
      </c>
      <c r="B84" s="47">
        <f>C2*(1-I2)/(1-I2*(SIN(A84*PI()/180))^2)^1.5</f>
        <v>6397571.766059048</v>
      </c>
      <c r="C84" s="47">
        <f>C2/(1-I2*(SIN(A84*PI()/180))^2)^0.5</f>
        <v>6399148.230312545</v>
      </c>
      <c r="D84" s="47">
        <f t="shared" si="11"/>
        <v>6398359.94963352</v>
      </c>
      <c r="E84" s="46">
        <f t="shared" si="12"/>
        <v>1221015.045091532</v>
      </c>
      <c r="F84" s="47">
        <f t="shared" si="13"/>
        <v>7671863.791164333</v>
      </c>
      <c r="G84" s="47">
        <f t="shared" si="14"/>
        <v>111658.69145035878</v>
      </c>
      <c r="H84" s="47">
        <f t="shared" si="18"/>
        <v>1860.978190839313</v>
      </c>
      <c r="I84" s="47">
        <f t="shared" si="18"/>
        <v>31.016303180655214</v>
      </c>
      <c r="J84" s="47">
        <f t="shared" si="15"/>
        <v>21310.732753234257</v>
      </c>
      <c r="K84" s="47">
        <f t="shared" si="19"/>
        <v>355.17887922057093</v>
      </c>
      <c r="L84" s="47">
        <f t="shared" si="19"/>
        <v>5.919647987009515</v>
      </c>
    </row>
    <row r="85" spans="1:13" ht="15.75" customHeight="1">
      <c r="A85" s="45">
        <f t="shared" si="20"/>
        <v>80</v>
      </c>
      <c r="B85" s="44">
        <f>C2*(1-I2)/(1-I2*(SIN(A85*PI()/180))^2)^1.5</f>
        <v>6397977.90828791</v>
      </c>
      <c r="C85" s="44">
        <f>C2/(1-I2*(SIN(A85*PI()/180))^2)^0.5</f>
        <v>6399283.641550051</v>
      </c>
      <c r="D85" s="44">
        <f t="shared" si="11"/>
        <v>6398630.741612258</v>
      </c>
      <c r="E85" s="48">
        <f t="shared" si="12"/>
        <v>1111223.9427289646</v>
      </c>
      <c r="F85" s="44">
        <f t="shared" si="13"/>
        <v>6982025.949940801</v>
      </c>
      <c r="G85" s="44">
        <f t="shared" si="14"/>
        <v>111665.77996948382</v>
      </c>
      <c r="H85" s="44">
        <f t="shared" si="18"/>
        <v>1861.0963328247303</v>
      </c>
      <c r="I85" s="44">
        <f t="shared" si="18"/>
        <v>31.018272213745504</v>
      </c>
      <c r="J85" s="44">
        <f t="shared" si="15"/>
        <v>19394.516527613334</v>
      </c>
      <c r="K85" s="44">
        <f t="shared" si="19"/>
        <v>323.2419421268889</v>
      </c>
      <c r="L85" s="44">
        <f t="shared" si="19"/>
        <v>5.387365702114815</v>
      </c>
      <c r="M85" s="40" t="s">
        <v>2</v>
      </c>
    </row>
    <row r="86" spans="1:12" ht="15.75" customHeight="1">
      <c r="A86" s="45">
        <f t="shared" si="20"/>
        <v>81</v>
      </c>
      <c r="B86" s="47">
        <f>C2*(1-I2)/(1-I2*(SIN(A86*PI()/180))^2)^1.5</f>
        <v>6398346.915412523</v>
      </c>
      <c r="C86" s="47">
        <f>C2/(1-I2*(SIN(A86*PI()/180))^2)^0.5</f>
        <v>6399406.666662747</v>
      </c>
      <c r="D86" s="47">
        <f t="shared" si="11"/>
        <v>6398876.769098771</v>
      </c>
      <c r="E86" s="46">
        <f t="shared" si="12"/>
        <v>1001087.7584742742</v>
      </c>
      <c r="F86" s="47">
        <f t="shared" si="13"/>
        <v>6290019.895242906</v>
      </c>
      <c r="G86" s="47">
        <f t="shared" si="14"/>
        <v>111672.22035877165</v>
      </c>
      <c r="H86" s="47">
        <f t="shared" si="18"/>
        <v>1861.2036726461943</v>
      </c>
      <c r="I86" s="47">
        <f t="shared" si="18"/>
        <v>31.020061210769903</v>
      </c>
      <c r="J86" s="47">
        <f t="shared" si="15"/>
        <v>17472.27748678585</v>
      </c>
      <c r="K86" s="47">
        <f t="shared" si="19"/>
        <v>291.2046247797642</v>
      </c>
      <c r="L86" s="47">
        <f t="shared" si="19"/>
        <v>4.85341041299607</v>
      </c>
    </row>
    <row r="87" spans="1:12" ht="15.75" customHeight="1">
      <c r="A87" s="45">
        <f t="shared" si="20"/>
        <v>82</v>
      </c>
      <c r="B87" s="44">
        <f>C2*(1-I2)/(1-I2*(SIN(A87*PI()/180))^2)^1.5</f>
        <v>6398678.327078482</v>
      </c>
      <c r="C87" s="44">
        <f>C2/(1-I2*(SIN(A87*PI()/180))^2)^0.5</f>
        <v>6399517.153607597</v>
      </c>
      <c r="D87" s="44">
        <f t="shared" si="11"/>
        <v>6399097.726598329</v>
      </c>
      <c r="E87" s="48">
        <f t="shared" si="12"/>
        <v>890640.6469147023</v>
      </c>
      <c r="F87" s="44">
        <f t="shared" si="13"/>
        <v>5596060.226671379</v>
      </c>
      <c r="G87" s="44">
        <f t="shared" si="14"/>
        <v>111678.00458352214</v>
      </c>
      <c r="H87" s="44">
        <f t="shared" si="18"/>
        <v>1861.3000763920356</v>
      </c>
      <c r="I87" s="44">
        <f t="shared" si="18"/>
        <v>31.02166793986726</v>
      </c>
      <c r="J87" s="44">
        <f t="shared" si="15"/>
        <v>15544.611740753831</v>
      </c>
      <c r="K87" s="44">
        <f t="shared" si="19"/>
        <v>259.0768623458972</v>
      </c>
      <c r="L87" s="44">
        <f t="shared" si="19"/>
        <v>4.317947705764953</v>
      </c>
    </row>
    <row r="88" spans="1:12" ht="15.75" customHeight="1">
      <c r="A88" s="45">
        <f t="shared" si="20"/>
        <v>83</v>
      </c>
      <c r="B88" s="47">
        <f>C2*(1-I2)/(1-I2*(SIN(A88*PI()/180))^2)^1.5</f>
        <v>6398971.729721915</v>
      </c>
      <c r="C88" s="47">
        <f>C2/(1-I2*(SIN(A88*PI()/180))^2)^0.5</f>
        <v>6399614.965814822</v>
      </c>
      <c r="D88" s="47">
        <f t="shared" si="11"/>
        <v>6399293.3396863695</v>
      </c>
      <c r="E88" s="46">
        <f t="shared" si="12"/>
        <v>779916.8739296078</v>
      </c>
      <c r="F88" s="47">
        <f t="shared" si="13"/>
        <v>4900362.243095946</v>
      </c>
      <c r="G88" s="47">
        <f t="shared" si="14"/>
        <v>111683.1254256841</v>
      </c>
      <c r="H88" s="47">
        <f t="shared" si="18"/>
        <v>1861.3854237614019</v>
      </c>
      <c r="I88" s="47">
        <f t="shared" si="18"/>
        <v>31.023090396023363</v>
      </c>
      <c r="J88" s="47">
        <f t="shared" si="15"/>
        <v>13612.117341933183</v>
      </c>
      <c r="K88" s="47">
        <f t="shared" si="19"/>
        <v>226.86862236555305</v>
      </c>
      <c r="L88" s="47">
        <f t="shared" si="19"/>
        <v>3.781143706092551</v>
      </c>
    </row>
    <row r="89" spans="1:12" ht="15.75" customHeight="1">
      <c r="A89" s="45">
        <f t="shared" si="20"/>
        <v>84</v>
      </c>
      <c r="B89" s="44">
        <f>C2*(1-I2)/(1-I2*(SIN(A89*PI()/180))^2)^1.5</f>
        <v>6399226.757121693</v>
      </c>
      <c r="C89" s="44">
        <f>C2/(1-I2*(SIN(A89*PI()/180))^2)^0.5</f>
        <v>6399699.982363933</v>
      </c>
      <c r="D89" s="44">
        <f t="shared" si="11"/>
        <v>6399463.365368577</v>
      </c>
      <c r="E89" s="48">
        <f t="shared" si="12"/>
        <v>668950.8045305308</v>
      </c>
      <c r="F89" s="44">
        <f t="shared" si="13"/>
        <v>4203141.866252195</v>
      </c>
      <c r="G89" s="44">
        <f t="shared" si="14"/>
        <v>111687.57649349303</v>
      </c>
      <c r="H89" s="44">
        <f t="shared" si="18"/>
        <v>1861.4596082248838</v>
      </c>
      <c r="I89" s="44">
        <f t="shared" si="18"/>
        <v>31.024326803748064</v>
      </c>
      <c r="J89" s="44">
        <f t="shared" si="15"/>
        <v>11675.394072922763</v>
      </c>
      <c r="K89" s="44">
        <f t="shared" si="19"/>
        <v>194.5899012153794</v>
      </c>
      <c r="L89" s="44">
        <f t="shared" si="19"/>
        <v>3.243165020256323</v>
      </c>
    </row>
    <row r="90" spans="1:12" ht="15.75" customHeight="1">
      <c r="A90" s="45">
        <f t="shared" si="20"/>
        <v>85</v>
      </c>
      <c r="B90" s="47">
        <f>C2*(1-I2)/(1-I2*(SIN(A90*PI()/180))^2)^1.5</f>
        <v>6399443.090888861</v>
      </c>
      <c r="C90" s="47">
        <f>C2/(1-I2*(SIN(A90*PI()/180))^2)^0.5</f>
        <v>6399772.098139662</v>
      </c>
      <c r="D90" s="47">
        <f t="shared" si="11"/>
        <v>6399607.592399957</v>
      </c>
      <c r="E90" s="46">
        <f t="shared" si="12"/>
        <v>557776.8906291007</v>
      </c>
      <c r="F90" s="47">
        <f t="shared" si="13"/>
        <v>3504615.5638850806</v>
      </c>
      <c r="G90" s="47">
        <f t="shared" si="14"/>
        <v>111691.35223001335</v>
      </c>
      <c r="H90" s="47">
        <f aca="true" t="shared" si="21" ref="H90:I95">G90/60</f>
        <v>1861.5225371668892</v>
      </c>
      <c r="I90" s="47">
        <f t="shared" si="21"/>
        <v>31.025375619448152</v>
      </c>
      <c r="J90" s="47">
        <f t="shared" si="15"/>
        <v>9735.043233014112</v>
      </c>
      <c r="K90" s="47">
        <f aca="true" t="shared" si="22" ref="K90:L95">J90/60</f>
        <v>162.2507205502352</v>
      </c>
      <c r="L90" s="47">
        <f t="shared" si="22"/>
        <v>2.7041786758372535</v>
      </c>
    </row>
    <row r="91" spans="1:12" ht="15.75" customHeight="1">
      <c r="A91" s="45">
        <f t="shared" si="20"/>
        <v>86</v>
      </c>
      <c r="B91" s="44">
        <f>C2*(1-I2)/(1-I2*(SIN(A91*PI()/180))^2)^1.5</f>
        <v>6399620.460892478</v>
      </c>
      <c r="C91" s="44">
        <f>C2/(1-I2*(SIN(A91*PI()/180))^2)^0.5</f>
        <v>6399831.223967591</v>
      </c>
      <c r="D91" s="44">
        <f t="shared" si="11"/>
        <v>6399725.841562399</v>
      </c>
      <c r="E91" s="48">
        <f t="shared" si="12"/>
        <v>446429.65874152957</v>
      </c>
      <c r="F91" s="44">
        <f t="shared" si="13"/>
        <v>2805000.2724939752</v>
      </c>
      <c r="G91" s="44">
        <f t="shared" si="14"/>
        <v>111694.44792057075</v>
      </c>
      <c r="H91" s="44">
        <f t="shared" si="21"/>
        <v>1861.5741320095124</v>
      </c>
      <c r="I91" s="44">
        <f t="shared" si="21"/>
        <v>31.026235533491874</v>
      </c>
      <c r="J91" s="44">
        <f t="shared" si="15"/>
        <v>7791.667423594376</v>
      </c>
      <c r="K91" s="44">
        <f t="shared" si="22"/>
        <v>129.8611237265729</v>
      </c>
      <c r="L91" s="44">
        <f t="shared" si="22"/>
        <v>2.1643520621095487</v>
      </c>
    </row>
    <row r="92" spans="1:12" ht="15.75" customHeight="1">
      <c r="A92" s="45">
        <f t="shared" si="20"/>
        <v>87</v>
      </c>
      <c r="B92" s="47">
        <f>C2*(1-I2)/(1-I2*(SIN(A92*PI()/180))^2)^1.5</f>
        <v>6399758.645621158</v>
      </c>
      <c r="C92" s="47">
        <f>C2/(1-I2*(SIN(A92*PI()/180))^2)^0.5</f>
        <v>6399877.2867292585</v>
      </c>
      <c r="D92" s="47">
        <f t="shared" si="11"/>
        <v>6399817.965900284</v>
      </c>
      <c r="E92" s="46">
        <f t="shared" si="12"/>
        <v>334943.6976384734</v>
      </c>
      <c r="F92" s="47">
        <f t="shared" si="13"/>
        <v>2104513.319734458</v>
      </c>
      <c r="G92" s="47">
        <f t="shared" si="14"/>
        <v>111696.8596990622</v>
      </c>
      <c r="H92" s="47">
        <f t="shared" si="21"/>
        <v>1861.6143283177034</v>
      </c>
      <c r="I92" s="47">
        <f t="shared" si="21"/>
        <v>31.026905471961722</v>
      </c>
      <c r="J92" s="47">
        <f t="shared" si="15"/>
        <v>5845.870332595717</v>
      </c>
      <c r="K92" s="47">
        <f t="shared" si="22"/>
        <v>97.43117220992862</v>
      </c>
      <c r="L92" s="47">
        <f t="shared" si="22"/>
        <v>1.623852870165477</v>
      </c>
    </row>
    <row r="93" spans="1:12" ht="15.75" customHeight="1">
      <c r="A93" s="45">
        <f t="shared" si="20"/>
        <v>88</v>
      </c>
      <c r="B93" s="44">
        <f>C2*(1-I2)/(1-I2*(SIN(A93*PI()/180))^2)^1.5</f>
        <v>6399857.472479699</v>
      </c>
      <c r="C93" s="44">
        <f>C2/(1-I2*(SIN(A93*PI()/180))^2)^0.5</f>
        <v>6399910.229456565</v>
      </c>
      <c r="D93" s="44">
        <f t="shared" si="11"/>
        <v>6399883.8509137705</v>
      </c>
      <c r="E93" s="48">
        <f t="shared" si="12"/>
        <v>223353.64594922232</v>
      </c>
      <c r="F93" s="44">
        <f t="shared" si="13"/>
        <v>1403372.346533145</v>
      </c>
      <c r="G93" s="44">
        <f t="shared" si="14"/>
        <v>111698.58455313314</v>
      </c>
      <c r="H93" s="44">
        <f t="shared" si="21"/>
        <v>1861.6430758855524</v>
      </c>
      <c r="I93" s="44">
        <f t="shared" si="21"/>
        <v>31.027384598092542</v>
      </c>
      <c r="J93" s="44">
        <f t="shared" si="15"/>
        <v>3898.2565181476252</v>
      </c>
      <c r="K93" s="44">
        <f t="shared" si="22"/>
        <v>64.97094196912708</v>
      </c>
      <c r="L93" s="44">
        <f t="shared" si="22"/>
        <v>1.0828490328187848</v>
      </c>
    </row>
    <row r="94" spans="1:12" ht="15.75" customHeight="1">
      <c r="A94" s="45">
        <f t="shared" si="20"/>
        <v>89</v>
      </c>
      <c r="B94" s="47">
        <f>C2*(1-I2)/(1-I2*(SIN(A94*PI()/180))^2)^1.5</f>
        <v>6399916.818020318</v>
      </c>
      <c r="C94" s="47">
        <f>C2/(1-I2*(SIN(A94*PI()/180))^2)^0.5</f>
        <v>6399930.011405364</v>
      </c>
      <c r="D94" s="47">
        <f t="shared" si="11"/>
        <v>6399923.41470944</v>
      </c>
      <c r="E94" s="46">
        <f t="shared" si="12"/>
        <v>111694.17972921404</v>
      </c>
      <c r="F94" s="47">
        <f t="shared" si="13"/>
        <v>701795.2289720736</v>
      </c>
      <c r="G94" s="47">
        <f t="shared" si="14"/>
        <v>111699.62032821329</v>
      </c>
      <c r="H94" s="47">
        <f t="shared" si="21"/>
        <v>1861.6603388035549</v>
      </c>
      <c r="I94" s="47">
        <f t="shared" si="21"/>
        <v>31.027672313392582</v>
      </c>
      <c r="J94" s="47">
        <f t="shared" si="15"/>
        <v>1949.4311915890935</v>
      </c>
      <c r="K94" s="47">
        <f t="shared" si="22"/>
        <v>32.49051985981823</v>
      </c>
      <c r="L94" s="47">
        <f t="shared" si="22"/>
        <v>0.5415086643303038</v>
      </c>
    </row>
    <row r="95" spans="1:13" ht="15.75" customHeight="1">
      <c r="A95" s="45">
        <f t="shared" si="20"/>
        <v>90</v>
      </c>
      <c r="B95" s="44">
        <f>C2*(1-I2)/(1-I2*(SIN(A95*PI()/180))^2)^1.5</f>
        <v>6399936.608108086</v>
      </c>
      <c r="C95" s="44">
        <f>C2/(1-I2*(SIN(A95*PI()/180))^2)^0.5</f>
        <v>6399936.608108086</v>
      </c>
      <c r="D95" s="44">
        <f t="shared" si="11"/>
        <v>6399936.608108086</v>
      </c>
      <c r="E95" s="44">
        <f>IF(A95=90,0,C95*COS(A95*PI()/180))</f>
        <v>0</v>
      </c>
      <c r="F95" s="44">
        <f t="shared" si="13"/>
        <v>0</v>
      </c>
      <c r="G95" s="44">
        <f t="shared" si="14"/>
        <v>111699.9657304041</v>
      </c>
      <c r="H95" s="44">
        <f t="shared" si="21"/>
        <v>1861.666095506735</v>
      </c>
      <c r="I95" s="44">
        <f t="shared" si="21"/>
        <v>31.027768258445583</v>
      </c>
      <c r="J95" s="44">
        <f t="shared" si="15"/>
        <v>0</v>
      </c>
      <c r="K95" s="44">
        <f t="shared" si="22"/>
        <v>0</v>
      </c>
      <c r="L95" s="44">
        <f t="shared" si="22"/>
        <v>0</v>
      </c>
      <c r="M95" s="40" t="s">
        <v>2</v>
      </c>
    </row>
    <row r="96" spans="1:13" ht="15.75" customHeight="1">
      <c r="A96" s="49" t="s">
        <v>105</v>
      </c>
      <c r="B96" s="4" t="s">
        <v>33</v>
      </c>
      <c r="C96" s="5" t="s">
        <v>0</v>
      </c>
      <c r="D96" s="42" t="s">
        <v>34</v>
      </c>
      <c r="E96" s="42" t="s">
        <v>33</v>
      </c>
      <c r="F96" s="5" t="s">
        <v>45</v>
      </c>
      <c r="G96" s="43" t="s">
        <v>106</v>
      </c>
      <c r="H96" s="43" t="s">
        <v>107</v>
      </c>
      <c r="I96" s="43" t="s">
        <v>108</v>
      </c>
      <c r="J96" s="43" t="s">
        <v>109</v>
      </c>
      <c r="K96" s="43" t="s">
        <v>110</v>
      </c>
      <c r="L96" s="43" t="s">
        <v>111</v>
      </c>
      <c r="M96" s="39"/>
    </row>
    <row r="97" spans="1:12" ht="15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15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</sheetData>
  <sheetProtection password="CE90" sheet="1"/>
  <mergeCells count="6">
    <mergeCell ref="I1:J1"/>
    <mergeCell ref="I2:J2"/>
    <mergeCell ref="C1:D1"/>
    <mergeCell ref="C2:D2"/>
    <mergeCell ref="F1:G1"/>
    <mergeCell ref="F2:G2"/>
  </mergeCells>
  <hyperlinks>
    <hyperlink ref="A2" location="INDEX!A1" display="◄"/>
  </hyperlinks>
  <printOptions/>
  <pageMargins left="0.75" right="0.75" top="1" bottom="1" header="0.5" footer="0.5"/>
  <pageSetup orientation="portrait" paperSize="9" r:id="rId1"/>
  <ignoredErrors>
    <ignoredError sqref="C2 F2" unlockedFormula="1"/>
    <ignoredError sqref="J29:J95 J5:J15 J16:J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R56"/>
  <sheetViews>
    <sheetView zoomScalePageLayoutView="0" workbookViewId="0" topLeftCell="A1">
      <selection activeCell="J20" sqref="J20"/>
    </sheetView>
  </sheetViews>
  <sheetFormatPr defaultColWidth="9.140625" defaultRowHeight="15.75" customHeight="1"/>
  <cols>
    <col min="1" max="1" width="9.140625" style="40" customWidth="1"/>
    <col min="2" max="2" width="5.7109375" style="40" customWidth="1"/>
    <col min="3" max="3" width="15.7109375" style="40" customWidth="1"/>
    <col min="4" max="4" width="5.7109375" style="40" customWidth="1"/>
    <col min="5" max="6" width="9.140625" style="40" customWidth="1"/>
    <col min="7" max="7" width="5.7109375" style="40" customWidth="1"/>
    <col min="8" max="8" width="15.7109375" style="40" customWidth="1"/>
    <col min="9" max="9" width="5.7109375" style="40" customWidth="1"/>
    <col min="10" max="16384" width="9.140625" style="40" customWidth="1"/>
  </cols>
  <sheetData>
    <row r="3" spans="2:10" ht="15.75" customHeight="1">
      <c r="B3" s="61" t="s">
        <v>184</v>
      </c>
      <c r="C3" s="122">
        <v>43</v>
      </c>
      <c r="D3" s="40" t="s">
        <v>16</v>
      </c>
      <c r="E3" s="40" t="s">
        <v>188</v>
      </c>
      <c r="G3" s="61" t="s">
        <v>193</v>
      </c>
      <c r="H3" s="123">
        <v>6378388</v>
      </c>
      <c r="I3" s="40" t="s">
        <v>2</v>
      </c>
      <c r="J3" s="40" t="s">
        <v>198</v>
      </c>
    </row>
    <row r="4" spans="2:10" ht="15.75" customHeight="1">
      <c r="B4" s="61" t="s">
        <v>185</v>
      </c>
      <c r="C4" s="122">
        <v>12</v>
      </c>
      <c r="D4" s="40" t="s">
        <v>16</v>
      </c>
      <c r="E4" s="40" t="s">
        <v>189</v>
      </c>
      <c r="G4" s="61" t="s">
        <v>194</v>
      </c>
      <c r="H4" s="2">
        <v>0.003367003367</v>
      </c>
      <c r="J4" s="40" t="s">
        <v>199</v>
      </c>
    </row>
    <row r="6" spans="2:5" ht="15.75" customHeight="1">
      <c r="B6" s="61" t="s">
        <v>186</v>
      </c>
      <c r="C6" s="122">
        <v>44</v>
      </c>
      <c r="D6" s="40" t="s">
        <v>16</v>
      </c>
      <c r="E6" s="40" t="s">
        <v>188</v>
      </c>
    </row>
    <row r="7" spans="2:10" ht="15.75" customHeight="1">
      <c r="B7" s="61" t="s">
        <v>187</v>
      </c>
      <c r="C7" s="122">
        <v>12</v>
      </c>
      <c r="D7" s="40" t="s">
        <v>16</v>
      </c>
      <c r="E7" s="40" t="s">
        <v>189</v>
      </c>
      <c r="G7" s="61" t="s">
        <v>196</v>
      </c>
      <c r="H7" s="123">
        <v>6371229.315</v>
      </c>
      <c r="I7" s="40" t="s">
        <v>2</v>
      </c>
      <c r="J7" s="40" t="s">
        <v>197</v>
      </c>
    </row>
    <row r="10" spans="1:17" ht="15.75" customHeight="1">
      <c r="A10" s="86" t="s">
        <v>294</v>
      </c>
      <c r="B10" s="242" t="s">
        <v>173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71"/>
    </row>
    <row r="11" spans="2:17" s="39" customFormat="1" ht="15.75" customHeigh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2:17" s="39" customFormat="1" ht="15.75" customHeight="1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17" s="39" customFormat="1" ht="15.7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17" s="39" customFormat="1" ht="15.75" customHeight="1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17" s="39" customFormat="1" ht="15.75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17" s="39" customFormat="1" ht="15.75" customHeight="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 s="39" customFormat="1" ht="15.75" customHeigh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 s="39" customFormat="1" ht="15.75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 s="39" customFormat="1" ht="15.75" customHeight="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 s="39" customFormat="1" ht="15.75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 s="39" customFormat="1" ht="15.75" customHeight="1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 s="39" customFormat="1" ht="15.7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 s="39" customFormat="1" ht="15.7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 s="39" customFormat="1" ht="15.7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 s="39" customFormat="1" ht="15.75" customHeight="1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 s="39" customFormat="1" ht="15.75" customHeight="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 s="39" customFormat="1" ht="15.75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9" spans="2:5" ht="15.75" customHeight="1">
      <c r="B29" s="61" t="s">
        <v>174</v>
      </c>
      <c r="C29" s="68">
        <f>(C3+C6)/2</f>
        <v>43.5</v>
      </c>
      <c r="D29" s="40" t="s">
        <v>16</v>
      </c>
      <c r="E29" s="40" t="s">
        <v>190</v>
      </c>
    </row>
    <row r="30" spans="2:5" ht="15.75" customHeight="1">
      <c r="B30" s="61" t="s">
        <v>175</v>
      </c>
      <c r="C30" s="68">
        <f>(C6-C3)/2</f>
        <v>0.5</v>
      </c>
      <c r="D30" s="40" t="s">
        <v>16</v>
      </c>
      <c r="E30" s="40" t="s">
        <v>202</v>
      </c>
    </row>
    <row r="31" spans="2:5" ht="15.75" customHeight="1">
      <c r="B31" s="61" t="s">
        <v>176</v>
      </c>
      <c r="C31" s="68">
        <f>(C7-C4)/2</f>
        <v>0</v>
      </c>
      <c r="D31" s="40" t="s">
        <v>16</v>
      </c>
      <c r="E31" s="40" t="s">
        <v>203</v>
      </c>
    </row>
    <row r="32" spans="2:3" ht="15.75" customHeight="1">
      <c r="B32" s="61" t="s">
        <v>177</v>
      </c>
      <c r="C32" s="66">
        <f>(SIN(C30*PI()/180))^2*(COS(C31*PI()/180))^2+(COS(C29*PI()/180))^2*(SIN(C31*PI()/180))^2</f>
        <v>7.615242180438042E-05</v>
      </c>
    </row>
    <row r="33" spans="2:3" ht="15.75" customHeight="1">
      <c r="B33" s="61" t="s">
        <v>178</v>
      </c>
      <c r="C33" s="65">
        <f>(COS(C30*PI()/180))^2*(COS(C31*PI()/180))^2+(SIN(C29*PI()/180))^2*(SIN(C31*PI()/180))^2</f>
        <v>0.9999238475781956</v>
      </c>
    </row>
    <row r="34" spans="2:3" ht="15.75" customHeight="1">
      <c r="B34" s="61" t="s">
        <v>179</v>
      </c>
      <c r="C34" s="65">
        <f>ATAN(SQRT(C32/C33))</f>
        <v>0.008726646259971648</v>
      </c>
    </row>
    <row r="35" spans="2:3" ht="15.75" customHeight="1">
      <c r="B35" s="61" t="s">
        <v>180</v>
      </c>
      <c r="C35" s="65">
        <f>(SQRT(C32*C33))/C34</f>
        <v>0.9999492312032947</v>
      </c>
    </row>
    <row r="36" spans="2:4" ht="15.75" customHeight="1">
      <c r="B36" s="61" t="s">
        <v>181</v>
      </c>
      <c r="C36" s="67">
        <f>2*C34*H3</f>
        <v>111323.87156969607</v>
      </c>
      <c r="D36" s="40" t="s">
        <v>2</v>
      </c>
    </row>
    <row r="37" spans="2:3" ht="15.75" customHeight="1">
      <c r="B37" s="61" t="s">
        <v>182</v>
      </c>
      <c r="C37" s="66">
        <f>(3*C35-1)/2*C33</f>
        <v>0.9998477001823879</v>
      </c>
    </row>
    <row r="38" spans="2:3" ht="15.75" customHeight="1">
      <c r="B38" s="61" t="s">
        <v>183</v>
      </c>
      <c r="C38" s="70">
        <f>(3*C35+1)/2*C32</f>
        <v>0.00015229904435852903</v>
      </c>
    </row>
    <row r="40" spans="2:4" ht="15.75" customHeight="1">
      <c r="B40" s="61" t="s">
        <v>206</v>
      </c>
      <c r="C40" s="88">
        <f>C36*(1+H4*C37*(SIN(C29*PI()/180))^2*(COS(C30*PI()/180))^2-H4*C38*(COS(C29*PI()/180))^2*(SIN(C30*PI()/180))^2)</f>
        <v>111501.43643332114</v>
      </c>
      <c r="D40" s="40" t="s">
        <v>2</v>
      </c>
    </row>
    <row r="43" spans="1:18" ht="15.75" customHeight="1">
      <c r="A43" s="86" t="s">
        <v>294</v>
      </c>
      <c r="B43" s="260" t="s">
        <v>195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</row>
    <row r="48" ht="15.75" customHeight="1">
      <c r="B48" s="64"/>
    </row>
    <row r="50" ht="15.75" customHeight="1">
      <c r="L50"/>
    </row>
    <row r="52" spans="2:5" ht="15.75" customHeight="1">
      <c r="B52" s="61" t="s">
        <v>200</v>
      </c>
      <c r="C52" s="68">
        <f>C6-C3</f>
        <v>1</v>
      </c>
      <c r="D52" s="40" t="s">
        <v>16</v>
      </c>
      <c r="E52" s="40" t="s">
        <v>191</v>
      </c>
    </row>
    <row r="53" spans="2:5" ht="15.75" customHeight="1">
      <c r="B53" s="61" t="s">
        <v>201</v>
      </c>
      <c r="C53" s="68">
        <f>C7-C4</f>
        <v>0</v>
      </c>
      <c r="D53" s="40" t="s">
        <v>16</v>
      </c>
      <c r="E53" s="40" t="s">
        <v>192</v>
      </c>
    </row>
    <row r="54" spans="2:5" ht="15.75" customHeight="1">
      <c r="B54" s="61" t="s">
        <v>205</v>
      </c>
      <c r="C54" s="65">
        <f>2*ASIN(SQRT((SIN((C52/2)*PI()/180))^2+COS(C3*PI()/180)*COS(C6*PI()/180)*(SIN((C53/2)*PI()/180))^2))</f>
        <v>0.017453292519943295</v>
      </c>
      <c r="E54" s="40" t="s">
        <v>204</v>
      </c>
    </row>
    <row r="56" spans="2:4" ht="15.75" customHeight="1">
      <c r="B56" s="61" t="s">
        <v>207</v>
      </c>
      <c r="C56" s="88">
        <f>H7*C54</f>
        <v>111198.92894633295</v>
      </c>
      <c r="D56" s="40" t="s">
        <v>2</v>
      </c>
    </row>
  </sheetData>
  <sheetProtection password="CE90" sheet="1"/>
  <mergeCells count="2">
    <mergeCell ref="B10:P10"/>
    <mergeCell ref="B43:R43"/>
  </mergeCells>
  <hyperlinks>
    <hyperlink ref="A10" location="INDEX!A1" display="◄"/>
    <hyperlink ref="A43" location="INDEX!A1" display="◄"/>
  </hyperlink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C20" sqref="C20"/>
    </sheetView>
  </sheetViews>
  <sheetFormatPr defaultColWidth="9.140625" defaultRowHeight="15.75" customHeight="1"/>
  <cols>
    <col min="1" max="1" width="9.140625" style="40" customWidth="1"/>
    <col min="2" max="2" width="5.7109375" style="40" customWidth="1"/>
    <col min="3" max="3" width="15.7109375" style="40" customWidth="1"/>
    <col min="4" max="4" width="5.7109375" style="40" customWidth="1"/>
    <col min="5" max="6" width="9.140625" style="40" customWidth="1"/>
    <col min="7" max="7" width="5.7109375" style="40" customWidth="1"/>
    <col min="8" max="8" width="15.7109375" style="40" customWidth="1"/>
    <col min="9" max="9" width="5.7109375" style="40" customWidth="1"/>
    <col min="10" max="16384" width="9.140625" style="40" customWidth="1"/>
  </cols>
  <sheetData>
    <row r="1" ht="15.75" customHeight="1">
      <c r="A1" s="126"/>
    </row>
    <row r="2" spans="1:14" ht="15.75" customHeight="1">
      <c r="A2" s="127" t="s">
        <v>294</v>
      </c>
      <c r="B2" s="242" t="s">
        <v>230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4" ht="15.75" customHeight="1">
      <c r="B4" s="128" t="s">
        <v>213</v>
      </c>
    </row>
    <row r="5" spans="1:13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0" ht="15.75" customHeight="1">
      <c r="A6" s="39"/>
      <c r="B6" s="75" t="s">
        <v>226</v>
      </c>
      <c r="C6" s="122">
        <v>53.0954618</v>
      </c>
      <c r="D6" s="40" t="s">
        <v>16</v>
      </c>
      <c r="E6" s="40" t="s">
        <v>188</v>
      </c>
      <c r="G6" s="75" t="s">
        <v>193</v>
      </c>
      <c r="H6" s="123">
        <v>6378137</v>
      </c>
      <c r="I6" s="40" t="s">
        <v>2</v>
      </c>
      <c r="J6" s="40" t="s">
        <v>198</v>
      </c>
    </row>
    <row r="7" spans="1:10" ht="15.75" customHeight="1">
      <c r="A7" s="49" t="s">
        <v>218</v>
      </c>
      <c r="B7" s="75" t="s">
        <v>227</v>
      </c>
      <c r="C7" s="122">
        <v>12</v>
      </c>
      <c r="D7" s="40" t="s">
        <v>16</v>
      </c>
      <c r="E7" s="40" t="s">
        <v>189</v>
      </c>
      <c r="G7" s="75" t="s">
        <v>194</v>
      </c>
      <c r="H7" s="2">
        <v>0.003352811</v>
      </c>
      <c r="J7" s="40" t="s">
        <v>199</v>
      </c>
    </row>
    <row r="8" spans="1:13" ht="15.75" customHeight="1">
      <c r="A8" s="39"/>
      <c r="B8" s="49" t="s">
        <v>211</v>
      </c>
      <c r="C8" s="123">
        <v>133.61</v>
      </c>
      <c r="D8" s="39" t="s">
        <v>2</v>
      </c>
      <c r="E8" s="39" t="s">
        <v>212</v>
      </c>
      <c r="F8" s="39"/>
      <c r="G8" s="39"/>
      <c r="H8" s="39"/>
      <c r="I8" s="39"/>
      <c r="J8" s="39"/>
      <c r="K8" s="39"/>
      <c r="L8" s="39"/>
      <c r="M8" s="39"/>
    </row>
    <row r="9" spans="1:16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5.75" customHeight="1">
      <c r="A10" s="39"/>
      <c r="B10" s="73" t="s">
        <v>214</v>
      </c>
      <c r="C10" s="89">
        <f>(H11+C8)*COS(C6*PI()/180)*COS(C7*PI()/180)</f>
        <v>3754394.782544251</v>
      </c>
      <c r="D10" s="72" t="s">
        <v>2</v>
      </c>
      <c r="E10" s="39"/>
      <c r="F10" s="39"/>
      <c r="G10" s="129" t="s">
        <v>219</v>
      </c>
      <c r="H10" s="130">
        <f>H6*(1-H7)</f>
        <v>6356752.312106893</v>
      </c>
      <c r="I10" s="39" t="s">
        <v>2</v>
      </c>
      <c r="J10" s="39"/>
      <c r="K10" s="39"/>
      <c r="L10" s="39"/>
      <c r="M10" s="39"/>
      <c r="N10" s="39"/>
      <c r="O10" s="39"/>
      <c r="P10" s="39"/>
    </row>
    <row r="11" spans="1:16" ht="15.75" customHeight="1">
      <c r="A11" s="49" t="s">
        <v>1</v>
      </c>
      <c r="B11" s="73" t="s">
        <v>215</v>
      </c>
      <c r="C11" s="89">
        <f>(H11+C8)*COS(C6*PI()/180)*SIN(C7*PI()/180)</f>
        <v>798021.2461294763</v>
      </c>
      <c r="D11" s="72" t="s">
        <v>2</v>
      </c>
      <c r="E11" s="39"/>
      <c r="F11" s="39"/>
      <c r="G11" s="129" t="s">
        <v>217</v>
      </c>
      <c r="H11" s="131">
        <f>H6/(1-H12*(SIN(C6*PI()/180))^2)^0.5</f>
        <v>6391831.844894103</v>
      </c>
      <c r="I11" s="39" t="s">
        <v>2</v>
      </c>
      <c r="J11" s="39"/>
      <c r="K11" s="39"/>
      <c r="L11" s="39"/>
      <c r="M11" s="39"/>
      <c r="N11" s="39"/>
      <c r="O11" s="39"/>
      <c r="P11" s="39"/>
    </row>
    <row r="12" spans="1:16" ht="15.75" customHeight="1">
      <c r="A12" s="39"/>
      <c r="B12" s="73" t="s">
        <v>216</v>
      </c>
      <c r="C12" s="90">
        <f>(H11*(1-H12)+C8)*SIN(C6*PI()/180)</f>
        <v>5077036.755750441</v>
      </c>
      <c r="D12" s="72" t="s">
        <v>2</v>
      </c>
      <c r="E12" s="39"/>
      <c r="F12" s="39"/>
      <c r="G12" s="74" t="s">
        <v>223</v>
      </c>
      <c r="H12" s="54">
        <f>(H6^2-H10^2)/H6^2</f>
        <v>0.006694380658398133</v>
      </c>
      <c r="I12" s="39"/>
      <c r="J12" s="39"/>
      <c r="K12" s="39"/>
      <c r="L12" s="39"/>
      <c r="M12" s="39"/>
      <c r="N12" s="39"/>
      <c r="O12" s="39"/>
      <c r="P12" s="39"/>
    </row>
    <row r="13" spans="1:16" ht="15.75" customHeight="1">
      <c r="A13" s="39"/>
      <c r="B13" s="39"/>
      <c r="C13" s="39"/>
      <c r="D13" s="39"/>
      <c r="E13" s="39"/>
      <c r="F13" s="39"/>
      <c r="I13" s="39"/>
      <c r="J13" s="39"/>
      <c r="K13" s="39"/>
      <c r="L13" s="39"/>
      <c r="M13" s="39"/>
      <c r="N13" s="39"/>
      <c r="O13" s="39"/>
      <c r="P13" s="39"/>
    </row>
    <row r="14" spans="1:16" ht="15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5.75" customHeight="1">
      <c r="A16" s="39"/>
      <c r="B16" s="128" t="s">
        <v>220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5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0" ht="15.75" customHeight="1">
      <c r="B18" s="73" t="s">
        <v>214</v>
      </c>
      <c r="C18" s="124">
        <v>3754394.783</v>
      </c>
      <c r="D18" s="40" t="s">
        <v>2</v>
      </c>
      <c r="F18" s="39"/>
      <c r="G18" s="129" t="s">
        <v>221</v>
      </c>
      <c r="H18" s="131">
        <f>SQRT(C18^2+C19^2)</f>
        <v>3838270.1957633216</v>
      </c>
      <c r="I18" s="39" t="s">
        <v>2</v>
      </c>
      <c r="J18" s="40" t="s">
        <v>222</v>
      </c>
    </row>
    <row r="19" spans="1:10" ht="15.75" customHeight="1">
      <c r="A19" s="75" t="s">
        <v>218</v>
      </c>
      <c r="B19" s="73" t="s">
        <v>215</v>
      </c>
      <c r="C19" s="125">
        <v>798021.246</v>
      </c>
      <c r="D19" s="40" t="s">
        <v>2</v>
      </c>
      <c r="F19" s="39"/>
      <c r="G19" s="77" t="s">
        <v>229</v>
      </c>
      <c r="H19" s="130">
        <f>ATAN((H6*C20)/(H10*H18))</f>
        <v>0.9250773208308772</v>
      </c>
      <c r="I19" s="132" t="s">
        <v>224</v>
      </c>
      <c r="J19" s="40" t="s">
        <v>225</v>
      </c>
    </row>
    <row r="20" spans="2:9" ht="15.75" customHeight="1">
      <c r="B20" s="73" t="s">
        <v>216</v>
      </c>
      <c r="C20" s="125">
        <v>5077036.756</v>
      </c>
      <c r="D20" s="40" t="s">
        <v>2</v>
      </c>
      <c r="F20" s="39"/>
      <c r="G20" s="76" t="s">
        <v>228</v>
      </c>
      <c r="H20" s="54">
        <f>(H6^2-H10^2)/H10^2</f>
        <v>0.006739497419571033</v>
      </c>
      <c r="I20" s="39"/>
    </row>
    <row r="21" spans="6:9" ht="15.75" customHeight="1">
      <c r="F21" s="39"/>
      <c r="G21" s="39"/>
      <c r="H21" s="39"/>
      <c r="I21" s="39"/>
    </row>
    <row r="22" spans="2:4" ht="15.75" customHeight="1">
      <c r="B22" s="75" t="s">
        <v>226</v>
      </c>
      <c r="C22" s="133">
        <f>(ATAN((C20+H20*H10*(SIN(H19))^3)/(H18-H12*H6*(COS(H19))^3))*180/PI())</f>
        <v>53.0954617983369</v>
      </c>
      <c r="D22" s="40" t="s">
        <v>16</v>
      </c>
    </row>
    <row r="23" spans="1:4" ht="15.75" customHeight="1">
      <c r="A23" s="75" t="s">
        <v>1</v>
      </c>
      <c r="B23" s="75" t="s">
        <v>227</v>
      </c>
      <c r="C23" s="133">
        <f>(2*ATAN(C19/(C18+SQRT(C18^2+C19^2))))*180/PI()</f>
        <v>11.999999996695013</v>
      </c>
      <c r="D23" s="40" t="s">
        <v>16</v>
      </c>
    </row>
    <row r="24" spans="2:4" ht="15.75" customHeight="1">
      <c r="B24" s="49" t="s">
        <v>211</v>
      </c>
      <c r="C24" s="88">
        <f>H18*COS(C22*PI()/180)+C20*SIN(C22*PI()/180)-H6*(SQRT((1-H12*(SIN(C22*PI()/180))^2)))</f>
        <v>133.61045108083636</v>
      </c>
      <c r="D24" s="40" t="s">
        <v>2</v>
      </c>
    </row>
  </sheetData>
  <sheetProtection password="CE90" sheet="1"/>
  <mergeCells count="1">
    <mergeCell ref="B2:N2"/>
  </mergeCells>
  <hyperlinks>
    <hyperlink ref="A2" location="INDEX!A1" display="◄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12"/>
  <sheetViews>
    <sheetView zoomScalePageLayoutView="0" workbookViewId="0" topLeftCell="A1">
      <selection activeCell="P15" sqref="P15"/>
    </sheetView>
  </sheetViews>
  <sheetFormatPr defaultColWidth="9.140625" defaultRowHeight="15.75" customHeight="1"/>
  <cols>
    <col min="1" max="1" width="5.7109375" style="40" customWidth="1"/>
    <col min="2" max="2" width="9.140625" style="40" customWidth="1"/>
    <col min="3" max="3" width="15.7109375" style="40" customWidth="1"/>
    <col min="4" max="4" width="5.7109375" style="40" customWidth="1"/>
    <col min="5" max="6" width="9.140625" style="40" customWidth="1"/>
    <col min="7" max="7" width="5.7109375" style="40" customWidth="1"/>
    <col min="8" max="8" width="15.7109375" style="40" customWidth="1"/>
    <col min="9" max="9" width="5.7109375" style="40" customWidth="1"/>
    <col min="10" max="10" width="15.7109375" style="40" customWidth="1"/>
    <col min="11" max="11" width="5.7109375" style="40" customWidth="1"/>
    <col min="12" max="12" width="15.7109375" style="40" customWidth="1"/>
    <col min="13" max="13" width="5.7109375" style="40" customWidth="1"/>
    <col min="14" max="14" width="15.7109375" style="40" customWidth="1"/>
    <col min="15" max="16384" width="9.140625" style="40" customWidth="1"/>
  </cols>
  <sheetData>
    <row r="2" spans="1:14" ht="15.75" customHeight="1">
      <c r="A2" s="127" t="s">
        <v>294</v>
      </c>
      <c r="B2" s="242" t="s">
        <v>235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4" spans="2:10" ht="15.75" customHeight="1">
      <c r="B4" s="75" t="s">
        <v>236</v>
      </c>
      <c r="C4" s="122">
        <v>43</v>
      </c>
      <c r="D4" s="40" t="s">
        <v>16</v>
      </c>
      <c r="E4" s="40" t="s">
        <v>188</v>
      </c>
      <c r="G4" s="75" t="s">
        <v>193</v>
      </c>
      <c r="H4" s="123">
        <v>6378388</v>
      </c>
      <c r="I4" s="40" t="s">
        <v>2</v>
      </c>
      <c r="J4" s="40" t="s">
        <v>198</v>
      </c>
    </row>
    <row r="5" spans="2:10" ht="15.75" customHeight="1">
      <c r="B5" s="75" t="s">
        <v>237</v>
      </c>
      <c r="C5" s="122">
        <v>12</v>
      </c>
      <c r="D5" s="40" t="s">
        <v>16</v>
      </c>
      <c r="E5" s="40" t="s">
        <v>189</v>
      </c>
      <c r="G5" s="75" t="s">
        <v>194</v>
      </c>
      <c r="H5" s="2">
        <v>0.003367003367</v>
      </c>
      <c r="J5" s="40" t="s">
        <v>199</v>
      </c>
    </row>
    <row r="6" spans="2:13" ht="15.75" customHeight="1">
      <c r="B6" s="49" t="s">
        <v>238</v>
      </c>
      <c r="C6" s="122">
        <v>15</v>
      </c>
      <c r="D6" s="39" t="s">
        <v>16</v>
      </c>
      <c r="E6" s="39" t="s">
        <v>231</v>
      </c>
      <c r="F6" s="39"/>
      <c r="G6" s="39"/>
      <c r="H6" s="39"/>
      <c r="I6" s="39"/>
      <c r="J6" s="39"/>
      <c r="K6" s="39"/>
      <c r="L6" s="39"/>
      <c r="M6" s="39"/>
    </row>
    <row r="8" spans="2:10" ht="15.75" customHeight="1">
      <c r="B8" s="75" t="s">
        <v>239</v>
      </c>
      <c r="C8" s="123">
        <v>5000</v>
      </c>
      <c r="D8" s="40" t="s">
        <v>2</v>
      </c>
      <c r="E8" s="40" t="s">
        <v>240</v>
      </c>
      <c r="G8" s="129" t="s">
        <v>219</v>
      </c>
      <c r="H8" s="130">
        <f>H4*(1-H5)</f>
        <v>6356911.946127968</v>
      </c>
      <c r="I8" s="39" t="s">
        <v>2</v>
      </c>
      <c r="J8" s="40" t="s">
        <v>232</v>
      </c>
    </row>
    <row r="9" spans="7:10" ht="15.75" customHeight="1">
      <c r="G9" s="129" t="s">
        <v>257</v>
      </c>
      <c r="H9" s="131">
        <f>H4/(1-H11*(SIN(C4*PI()/180))^2)^0.5</f>
        <v>6388383.610852759</v>
      </c>
      <c r="I9" s="39" t="s">
        <v>2</v>
      </c>
      <c r="J9" s="40" t="s">
        <v>233</v>
      </c>
    </row>
    <row r="10" spans="7:10" ht="15.75" customHeight="1">
      <c r="G10" s="129" t="s">
        <v>258</v>
      </c>
      <c r="H10" s="131">
        <f>H4*(1-H11)/(1-H11*(SIN(C4*PI()/180))^2)^1.5</f>
        <v>6365340.144195357</v>
      </c>
      <c r="I10" s="39" t="s">
        <v>2</v>
      </c>
      <c r="J10" s="40" t="s">
        <v>259</v>
      </c>
    </row>
    <row r="11" spans="7:10" ht="15.75" customHeight="1">
      <c r="G11" s="74" t="s">
        <v>223</v>
      </c>
      <c r="H11" s="54">
        <f>(H4^2-H8^2)/H4^2</f>
        <v>0.006722670022326506</v>
      </c>
      <c r="I11" s="39"/>
      <c r="J11" s="40" t="s">
        <v>234</v>
      </c>
    </row>
    <row r="13" spans="8:12" ht="15.75" customHeight="1">
      <c r="H13" s="62" t="s">
        <v>244</v>
      </c>
      <c r="J13" s="62" t="s">
        <v>249</v>
      </c>
      <c r="L13" s="62" t="s">
        <v>253</v>
      </c>
    </row>
    <row r="14" spans="2:12" ht="15.75" customHeight="1">
      <c r="B14" s="75" t="s">
        <v>241</v>
      </c>
      <c r="C14" s="133">
        <f>C4+(H14-H15-H16-H17)*180/PI()</f>
        <v>43.043471250604014</v>
      </c>
      <c r="D14" s="40" t="s">
        <v>16</v>
      </c>
      <c r="G14" s="134" t="s">
        <v>245</v>
      </c>
      <c r="H14" s="54">
        <f>C8*COS(C6*PI()/180)/H10</f>
        <v>0.0007587385783066987</v>
      </c>
      <c r="I14" s="134" t="s">
        <v>250</v>
      </c>
      <c r="J14" s="54">
        <f>(C8*SIN(C6*PI()/180))/(H9*COS(C4*PI()/180))</f>
        <v>0.00027697960030358376</v>
      </c>
      <c r="K14" s="134" t="s">
        <v>254</v>
      </c>
      <c r="L14" s="54">
        <f>(C8*TAN(C4*PI()/180)*SIN(C6*PI()/180))/H9</f>
        <v>0.00018889963317781042</v>
      </c>
    </row>
    <row r="15" spans="2:12" ht="15.75" customHeight="1">
      <c r="B15" s="75" t="s">
        <v>242</v>
      </c>
      <c r="C15" s="133">
        <f>C5+(J14+J15+J16)*180/PI()</f>
        <v>12.015881012161058</v>
      </c>
      <c r="D15" s="40" t="s">
        <v>16</v>
      </c>
      <c r="G15" s="134" t="s">
        <v>246</v>
      </c>
      <c r="H15" s="54">
        <f>(C8^2*TAN(C4*PI()/180)*(SIN(C6*PI()/180))^2)/(2*H9*H10)</f>
        <v>1.9201967833518512E-08</v>
      </c>
      <c r="I15" s="134" t="s">
        <v>251</v>
      </c>
      <c r="J15" s="54">
        <f>(C8^2*TAN(C4*PI()/180)*SIN(C6*PI()/180)*COS(C6*PI()/180))/(H9^2*COS(C4*PI()/180))</f>
        <v>1.9526591746878616E-07</v>
      </c>
      <c r="K15" s="134" t="s">
        <v>255</v>
      </c>
      <c r="L15" s="54">
        <f>((C8^2*SIN(C6*PI()/180)*COS(C6*PI()/180))/(2*H9^2))*(1+2*TAN(C4*PI()/180))</f>
        <v>2.193801090206076E-07</v>
      </c>
    </row>
    <row r="16" spans="2:12" ht="15.75" customHeight="1">
      <c r="B16" s="49" t="s">
        <v>243</v>
      </c>
      <c r="C16" s="133">
        <f>C6+(L14+L15+L16)*180/PI()</f>
        <v>15.010835721393786</v>
      </c>
      <c r="D16" s="40" t="s">
        <v>16</v>
      </c>
      <c r="G16" s="134" t="s">
        <v>247</v>
      </c>
      <c r="H16" s="54">
        <f>(3*H11*C8^2*SIN(2*C4*PI()/180)*(COS(C6*PI()/180))^2)/(4*H9*H10*(1-H11))</f>
        <v>2.9046130653975007E-09</v>
      </c>
      <c r="I16" s="134" t="s">
        <v>252</v>
      </c>
      <c r="J16" s="54">
        <f>(C8^3)/(2*H9^3*COS(C4*PI()/180))*((1+3*(TAN(C4*PI()/180))^2)*(COS(C6*PI()/180))^2-(TAN(C4*PI()/180))^2*(SIN(C6*PI()/180))^2)</f>
        <v>1.0845386831037783E-09</v>
      </c>
      <c r="K16" s="134" t="s">
        <v>256</v>
      </c>
      <c r="L16" s="54">
        <f>(C8^2*H11^2*SIN(C6*PI()/180)*COS(C6*PI()/180)*(COS(C4*PI()/180))^2)/(2*H9^2*(1-H11))</f>
        <v>1.863528511113667E-12</v>
      </c>
    </row>
    <row r="17" spans="7:8" ht="15.75" customHeight="1">
      <c r="G17" s="134" t="s">
        <v>248</v>
      </c>
      <c r="H17" s="54">
        <f>(C8^3*COS(C6*PI()/180)*(SIN(C6*PI()/180))^2)/(6*H9^2*H10)*(1+3*(TAN(C4*PI()/180))^2)</f>
        <v>1.8726153934660505E-11</v>
      </c>
    </row>
    <row r="36" spans="1:14" ht="15.75" customHeight="1">
      <c r="A36" s="127" t="s">
        <v>294</v>
      </c>
      <c r="B36" s="242" t="s">
        <v>386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</row>
    <row r="37" spans="1:14" s="39" customFormat="1" ht="15.75" customHeight="1">
      <c r="A37" s="135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7:14" ht="15.75" customHeight="1">
      <c r="G38" s="261" t="s">
        <v>279</v>
      </c>
      <c r="H38" s="262"/>
      <c r="I38" s="262"/>
      <c r="J38" s="262"/>
      <c r="K38" s="262"/>
      <c r="L38" s="262"/>
      <c r="M38" s="262"/>
      <c r="N38" s="262"/>
    </row>
    <row r="39" spans="2:14" ht="15.75" customHeight="1">
      <c r="B39" s="75" t="s">
        <v>241</v>
      </c>
      <c r="C39" s="133">
        <f>C4+(H39-J39*L39+N39)*180/PI()</f>
        <v>43.0434717655199</v>
      </c>
      <c r="D39" s="40" t="s">
        <v>16</v>
      </c>
      <c r="F39" s="75" t="s">
        <v>398</v>
      </c>
      <c r="G39" s="75" t="s">
        <v>387</v>
      </c>
      <c r="H39" s="66">
        <f>C8*COS(C6*PI()/180)/H10</f>
        <v>0.0007587385783066987</v>
      </c>
      <c r="I39" s="75" t="s">
        <v>388</v>
      </c>
      <c r="J39" s="68">
        <f>C8^2*SIN(C4*PI()/180)/(2*H10)</f>
        <v>1.3392810608173513</v>
      </c>
      <c r="K39" s="75" t="s">
        <v>389</v>
      </c>
      <c r="L39" s="66">
        <f>(SIN(C6*PI()/180))^2/H9*COS(C4*PI()/180)+3*H11*COS(C4*PI()/180)*(COS(C6*PI()/180))^2/H10*(1-H11*(SIN(C4*PI()/180))^2)</f>
        <v>9.82407047418314E-09</v>
      </c>
      <c r="M39" s="75" t="s">
        <v>390</v>
      </c>
      <c r="N39" s="66">
        <f>(C8^3*(SIN(C6*PI()/180))^2*COS(C6*PI()/180))/(6*H10^3)*(1+3*(TAN(C4*PI()/180))^2)</f>
        <v>1.886198220739616E-11</v>
      </c>
    </row>
    <row r="40" spans="2:14" ht="15.75" customHeight="1">
      <c r="B40" s="75" t="s">
        <v>242</v>
      </c>
      <c r="C40" s="133">
        <f>C5+(H40+J40+L40*N40)*180/PI()</f>
        <v>12.015880960754437</v>
      </c>
      <c r="D40" s="40" t="s">
        <v>16</v>
      </c>
      <c r="F40" s="75" t="s">
        <v>399</v>
      </c>
      <c r="G40" s="75" t="s">
        <v>391</v>
      </c>
      <c r="H40" s="66">
        <f>(C8*SIN(C6*PI()/180))/(H9*COS(C4*PI()/180))</f>
        <v>0.00027697960030358376</v>
      </c>
      <c r="I40" s="75" t="s">
        <v>392</v>
      </c>
      <c r="J40" s="66">
        <f>(C8^2*SIN(C4*PI()/180)*SIN(2*C6*PI()/180))/(2*H9^2*(COS(C4*PI()/180))^2)</f>
        <v>1.9526591746878614E-07</v>
      </c>
      <c r="K40" s="75" t="s">
        <v>393</v>
      </c>
      <c r="L40" s="66">
        <f>C8^3/(6*H9^2*COS(C4*PI()/180))</f>
        <v>0.0006979902000926281</v>
      </c>
      <c r="M40" s="75" t="s">
        <v>394</v>
      </c>
      <c r="N40" s="66">
        <f>SIN(2*C6*PI()/180)*COS(C6*PI()/180)/H10+(2*(TAN(C4*PI()/180))^2*SIN(3*C6*PI()/180)/H9)</f>
        <v>2.6837607858682113E-07</v>
      </c>
    </row>
    <row r="41" spans="2:12" ht="15.75" customHeight="1">
      <c r="B41" s="49" t="s">
        <v>243</v>
      </c>
      <c r="C41" s="133">
        <f>C6+(H41+J41*L41)*180/PI()</f>
        <v>15.010835184986176</v>
      </c>
      <c r="D41" s="40" t="s">
        <v>16</v>
      </c>
      <c r="F41" s="49" t="s">
        <v>400</v>
      </c>
      <c r="G41" s="75" t="s">
        <v>395</v>
      </c>
      <c r="H41" s="66">
        <f>C8*TAN(C4*PI()/180)*SIN(C6*PI()/180)/H9</f>
        <v>0.00018889963317781042</v>
      </c>
      <c r="I41" s="75" t="s">
        <v>396</v>
      </c>
      <c r="J41" s="66">
        <f>C8^2*SIN(C6*PI()/180)*COS(C6*PI()/180)/(2*H9)</f>
        <v>0.4891691216994491</v>
      </c>
      <c r="K41" s="75" t="s">
        <v>397</v>
      </c>
      <c r="L41" s="66">
        <f>1/H10+2*(TAN(C4*PI()/180))^2/H9</f>
        <v>4.293400468361158E-07</v>
      </c>
    </row>
    <row r="59" spans="1:14" ht="15.75" customHeight="1">
      <c r="A59" s="127" t="s">
        <v>294</v>
      </c>
      <c r="B59" s="242" t="s">
        <v>407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</row>
    <row r="60" spans="1:14" s="39" customFormat="1" ht="15.75" customHeight="1">
      <c r="A60" s="135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7:12" ht="15.75" customHeight="1">
      <c r="G61" s="261" t="s">
        <v>279</v>
      </c>
      <c r="H61" s="262"/>
      <c r="I61" s="262"/>
      <c r="J61" s="262"/>
      <c r="K61" s="262"/>
      <c r="L61" s="262"/>
    </row>
    <row r="62" spans="2:12" ht="15.75" customHeight="1">
      <c r="B62" s="75" t="s">
        <v>413</v>
      </c>
      <c r="C62" s="137">
        <f>H4^2/H8</f>
        <v>6399936.6081080865</v>
      </c>
      <c r="H62" s="120" t="s">
        <v>188</v>
      </c>
      <c r="J62" s="120" t="s">
        <v>189</v>
      </c>
      <c r="L62" s="120" t="s">
        <v>231</v>
      </c>
    </row>
    <row r="63" spans="2:12" ht="15.75" customHeight="1">
      <c r="B63" s="75" t="s">
        <v>414</v>
      </c>
      <c r="C63" s="138">
        <f>(H4^2-H8^2)/H8^2</f>
        <v>0.006768170197217343</v>
      </c>
      <c r="G63" s="75" t="s">
        <v>416</v>
      </c>
      <c r="H63" s="138">
        <f>C68</f>
        <v>0.0433157090590422</v>
      </c>
      <c r="I63" s="75" t="s">
        <v>425</v>
      </c>
      <c r="J63" s="138">
        <f>C69</f>
        <v>0.011606409261951821</v>
      </c>
      <c r="K63" s="75" t="s">
        <v>435</v>
      </c>
      <c r="L63" s="139">
        <f>C69*C66</f>
        <v>0.010823151732657955</v>
      </c>
    </row>
    <row r="64" spans="2:12" ht="15.75" customHeight="1">
      <c r="B64" s="75" t="s">
        <v>408</v>
      </c>
      <c r="C64" s="137">
        <f>SQRT(1+C63*(COS(C4*PI()/180))^2)</f>
        <v>1.001808438246523</v>
      </c>
      <c r="G64" s="75" t="s">
        <v>417</v>
      </c>
      <c r="H64" s="138">
        <f>(1/(2*C67))*C69^2*C66</f>
        <v>1.0962232260471202E-06</v>
      </c>
      <c r="I64" s="75" t="s">
        <v>426</v>
      </c>
      <c r="J64" s="138">
        <f>(1/C67)*C69*C68*C66</f>
        <v>8.182321552089831E-06</v>
      </c>
      <c r="K64" s="75" t="s">
        <v>436</v>
      </c>
      <c r="L64" s="138">
        <f>((C69*C68)/(2*C67))*(1+2*C66^2+C3)</f>
        <v>1.201737109086396E-05</v>
      </c>
    </row>
    <row r="65" spans="2:12" ht="15.75" customHeight="1">
      <c r="B65" s="75" t="s">
        <v>415</v>
      </c>
      <c r="C65" s="137">
        <f>SQRT(C63*(COS(C4*PI()/180))^2)</f>
        <v>0.06016765694239434</v>
      </c>
      <c r="G65" s="75" t="s">
        <v>418</v>
      </c>
      <c r="H65" s="138">
        <f>(3/(2*C67))*C68^2*C65*C66</f>
        <v>2.7559951478397402E-06</v>
      </c>
      <c r="I65" s="75" t="s">
        <v>427</v>
      </c>
      <c r="J65" s="138">
        <f>((C69^3)/(3*C67^2))*C66^2</f>
        <v>1.3805077685419797E-10</v>
      </c>
      <c r="K65" s="75" t="s">
        <v>437</v>
      </c>
      <c r="L65" s="138">
        <f>(C69^3/(6*C67^2))*C66*(1+2*C66^2+C65)</f>
        <v>2.072087488995363E-10</v>
      </c>
    </row>
    <row r="66" spans="2:12" ht="15.75" customHeight="1">
      <c r="B66" s="75" t="s">
        <v>409</v>
      </c>
      <c r="C66" s="137">
        <f>TAN(C4*PI()/180)</f>
        <v>0.9325150861376615</v>
      </c>
      <c r="G66" s="75" t="s">
        <v>419</v>
      </c>
      <c r="H66" s="138">
        <f>((C69^2*C68)/(6*C67^2))*(1+3*C66^2+C65-9*C65*C66^2)</f>
        <v>9.47387457548698E-10</v>
      </c>
      <c r="I66" s="75" t="s">
        <v>428</v>
      </c>
      <c r="J66" s="138">
        <f>((C69*C68^2)/(3*C67^2))*(1+3*C66^2+C65)</f>
        <v>8.112609196983996E-09</v>
      </c>
      <c r="K66" s="75" t="s">
        <v>438</v>
      </c>
      <c r="L66" s="138">
        <f>((C69*C68^2)/(6*C67^2))*C66*(5+6*C66^2+C65-4*C65^2)</f>
        <v>1.0581094667329533E-08</v>
      </c>
    </row>
    <row r="67" spans="2:12" ht="15.75" customHeight="1">
      <c r="B67" s="75" t="s">
        <v>410</v>
      </c>
      <c r="C67" s="137">
        <f>180/PI()</f>
        <v>57.29577951308232</v>
      </c>
      <c r="G67" s="75" t="s">
        <v>420</v>
      </c>
      <c r="H67" s="138">
        <f>(C68^3/(2*C67^2))*C65*(1-C66^2)</f>
        <v>9.713007269833148E-11</v>
      </c>
      <c r="I67" s="75" t="s">
        <v>429</v>
      </c>
      <c r="J67" s="138">
        <f>((C69^3*C68)/(3*C67^3))*C66*(1+3*C66^2+C65)</f>
        <v>4.106238045626941E-13</v>
      </c>
      <c r="K67" s="75" t="s">
        <v>439</v>
      </c>
      <c r="L67" s="138">
        <f>((C69^3*C68)/(24*C67^3))*(1+20*C66^2+24*C66^4+2*C65+8*C65*C66^2)</f>
        <v>5.562705210963513E-13</v>
      </c>
    </row>
    <row r="68" spans="2:12" ht="15.75" customHeight="1">
      <c r="B68" s="75" t="s">
        <v>412</v>
      </c>
      <c r="C68" s="137">
        <f>C67/C62*C64*C8*COS(C6*PI()/180)</f>
        <v>0.0433157090590422</v>
      </c>
      <c r="G68" s="75" t="s">
        <v>421</v>
      </c>
      <c r="H68" s="138">
        <f>(C69^4/(24*C67^3))*C66*(1+3*C66^2+C65-9*C65*C66^2)</f>
        <v>1.1988123449797423E-14</v>
      </c>
      <c r="I68" s="75" t="s">
        <v>430</v>
      </c>
      <c r="J68" s="138">
        <f>((C69*C68^3)/(3*C67^3))*C66*(2+3*C66^2+C65)</f>
        <v>7.278089424025248E-12</v>
      </c>
      <c r="K68" s="75" t="s">
        <v>440</v>
      </c>
      <c r="L68" s="138">
        <f>((C69*C68^3)/(24*C67^3))*(5+28*C66^2+24*C66^4+6*C65+8*C65*C66^2)</f>
        <v>1.008760240689707E-11</v>
      </c>
    </row>
    <row r="69" spans="2:12" ht="15.75" customHeight="1">
      <c r="B69" s="75" t="s">
        <v>411</v>
      </c>
      <c r="C69" s="137">
        <f>C67/C62*C64*C8*SIN(C6*PI()/180)</f>
        <v>0.011606409261951821</v>
      </c>
      <c r="G69" s="75" t="s">
        <v>422</v>
      </c>
      <c r="H69" s="138">
        <f>((C69^2*C68^2)/(12*C67^3))*C66*(4+6*C66^2-13*C65-9*C65*C66^2)</f>
        <v>8.316652105689744E-13</v>
      </c>
      <c r="I69" s="75" t="s">
        <v>431</v>
      </c>
      <c r="J69" s="138">
        <f>(C69^5/(15*C67^4))*C66^2*(1+3*C66^2)</f>
        <v>4.088617880388626E-18</v>
      </c>
      <c r="K69" s="75" t="s">
        <v>441</v>
      </c>
      <c r="L69" s="138">
        <f>(C69^5/(120*C67^4))*C66*(1+20*C66^2+24*C66^4)</f>
        <v>5.5493392221429E-18</v>
      </c>
    </row>
    <row r="70" spans="7:12" ht="15.75" customHeight="1">
      <c r="G70" s="75" t="s">
        <v>423</v>
      </c>
      <c r="H70" s="138">
        <f>(C68^4/(2*C67^3))*C65*C66</f>
        <v>5.250525657781849E-13</v>
      </c>
      <c r="I70" s="75" t="s">
        <v>432</v>
      </c>
      <c r="J70" s="140">
        <f>((C69*C68^4)/(15*C67^4))*(2+15*C67^2+15*C66^4)</f>
        <v>1.2449502257896817E-11</v>
      </c>
      <c r="K70" s="75" t="s">
        <v>442</v>
      </c>
      <c r="L70" s="138">
        <f>((C69^3*C68^2)/(120*C67^4))*C66*(58+280*C66^2+240*C66^4)</f>
        <v>1.021610256775774E-15</v>
      </c>
    </row>
    <row r="71" spans="7:12" ht="15.75" customHeight="1">
      <c r="G71" s="75" t="s">
        <v>424</v>
      </c>
      <c r="H71" s="138">
        <f>((C69^4*C68)/(120*C67^4))*(1+30*C66^2+45*C66^4)</f>
        <v>3.7146381984638824E-17</v>
      </c>
      <c r="I71" s="75" t="s">
        <v>433</v>
      </c>
      <c r="J71" s="138">
        <f>((C69^3*C68^2)/(15*C67^4))*(1+20*C66^2+30*C66^4)</f>
        <v>7.454206230404793E-16</v>
      </c>
      <c r="K71" s="75" t="s">
        <v>443</v>
      </c>
      <c r="L71" s="138">
        <f>((C69*C68^4)/(120*C67^4))*C66*(61+180*C66^2+120*C66^4)</f>
        <v>9.08217605237714E-15</v>
      </c>
    </row>
    <row r="72" spans="2:8" ht="15.75" customHeight="1">
      <c r="B72" s="75" t="s">
        <v>241</v>
      </c>
      <c r="C72" s="133">
        <f>(H63-H64-H65-H66-H67+H68-H69+H70+H71-H72)*C64^2+C4</f>
        <v>43.04346865107814</v>
      </c>
      <c r="D72" s="40" t="s">
        <v>16</v>
      </c>
      <c r="G72" s="75" t="s">
        <v>434</v>
      </c>
      <c r="H72" s="138">
        <f>((C69^2*C68^2)/(30*C67^4))*(2+15*C66^2+15*C66^4)</f>
        <v>2.0627914256915617E-14</v>
      </c>
    </row>
    <row r="73" spans="2:4" ht="15.75" customHeight="1">
      <c r="B73" s="75" t="s">
        <v>242</v>
      </c>
      <c r="C73" s="133">
        <f>(J63+J64-J65+J66-J67+J68+J69+J70-J71)/COS(C4*PI()/180)+C5</f>
        <v>12.015880960951813</v>
      </c>
      <c r="D73" s="40" t="s">
        <v>16</v>
      </c>
    </row>
    <row r="74" spans="2:8" ht="15.75" customHeight="1">
      <c r="B74" s="49" t="s">
        <v>243</v>
      </c>
      <c r="C74" s="133">
        <f>(L63+L64-L65+L66-L67+L68+L69-L70+L71)+C6</f>
        <v>15.010835179487174</v>
      </c>
      <c r="D74" s="40" t="s">
        <v>16</v>
      </c>
      <c r="H74" s="141"/>
    </row>
    <row r="103" spans="6:8" ht="15.75" customHeight="1">
      <c r="F103" s="142"/>
      <c r="H103" s="141"/>
    </row>
    <row r="104" ht="15.75" customHeight="1">
      <c r="F104" s="142"/>
    </row>
    <row r="105" spans="1:14" ht="15.75" customHeight="1">
      <c r="A105" s="127" t="s">
        <v>294</v>
      </c>
      <c r="B105" s="242" t="s">
        <v>447</v>
      </c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</row>
    <row r="107" spans="2:10" ht="15.75" customHeight="1">
      <c r="B107" s="75" t="s">
        <v>403</v>
      </c>
      <c r="C107" s="137">
        <f>H4*COS(C4*PI()/180)/SQRT(1-H11*(SIN(C4*PI()/180))^2)</f>
        <v>4672168.001160408</v>
      </c>
      <c r="D107" s="114" t="s">
        <v>2</v>
      </c>
      <c r="G107" s="128" t="s">
        <v>405</v>
      </c>
      <c r="H107" s="143">
        <f>C107*SIN(C6*PI()/180)</f>
        <v>1209246.06061889</v>
      </c>
      <c r="J107" s="114" t="s">
        <v>402</v>
      </c>
    </row>
    <row r="108" ht="15.75" customHeight="1">
      <c r="B108" s="114"/>
    </row>
    <row r="109" spans="2:12" ht="15.75" customHeight="1">
      <c r="B109" s="75" t="s">
        <v>404</v>
      </c>
      <c r="C109" s="137">
        <f>H4*COS(C14*PI()/180)/SQRT(1-H11*(SIN(C14*PI()/180))^2)</f>
        <v>4668872.945844877</v>
      </c>
      <c r="D109" s="114" t="s">
        <v>2</v>
      </c>
      <c r="G109" s="128" t="s">
        <v>406</v>
      </c>
      <c r="H109" s="143">
        <f>C109*SIN(C16*PI()/180)</f>
        <v>1209246.1020235897</v>
      </c>
      <c r="J109" s="114" t="s">
        <v>401</v>
      </c>
      <c r="L109" s="114" t="s">
        <v>444</v>
      </c>
    </row>
    <row r="110" spans="2:12" ht="15.75" customHeight="1">
      <c r="B110" s="75" t="s">
        <v>404</v>
      </c>
      <c r="C110" s="144">
        <f>H4*COS(C39*PI()/180)/SQRT(1-H11*(SIN(C39*PI()/180))^2)</f>
        <v>4668872.906799016</v>
      </c>
      <c r="D110" s="114" t="s">
        <v>2</v>
      </c>
      <c r="G110" s="128" t="s">
        <v>406</v>
      </c>
      <c r="H110" s="143">
        <f>C110*SIN(C41*PI()/180)</f>
        <v>1209246.0496918226</v>
      </c>
      <c r="J110" s="114" t="s">
        <v>401</v>
      </c>
      <c r="L110" s="114" t="s">
        <v>445</v>
      </c>
    </row>
    <row r="111" spans="2:12" ht="15.75" customHeight="1">
      <c r="B111" s="75" t="s">
        <v>404</v>
      </c>
      <c r="C111" s="137">
        <f>H4*COS(C72*PI()/180)/SQRT(1-H11*(SIN(C72*PI()/180))^2)</f>
        <v>4668873.14296586</v>
      </c>
      <c r="D111" s="114" t="s">
        <v>2</v>
      </c>
      <c r="G111" s="128" t="s">
        <v>406</v>
      </c>
      <c r="H111" s="143">
        <f>C111*SIN(C74*PI()/180)</f>
        <v>1209246.1104266304</v>
      </c>
      <c r="J111" s="114" t="s">
        <v>401</v>
      </c>
      <c r="L111" s="114" t="s">
        <v>446</v>
      </c>
    </row>
    <row r="112" ht="15.75" customHeight="1">
      <c r="C112" s="145"/>
    </row>
  </sheetData>
  <sheetProtection password="CE90" sheet="1"/>
  <mergeCells count="6">
    <mergeCell ref="G61:L61"/>
    <mergeCell ref="B105:N105"/>
    <mergeCell ref="B2:N2"/>
    <mergeCell ref="B36:N36"/>
    <mergeCell ref="G38:N38"/>
    <mergeCell ref="B59:N59"/>
  </mergeCells>
  <hyperlinks>
    <hyperlink ref="A2" location="INDEX!A1" display="◄"/>
    <hyperlink ref="A36" location="INDEX!A1" display="◄"/>
    <hyperlink ref="A59" location="INDEX!A1" display="◄"/>
    <hyperlink ref="A105" location="INDEX!A1" display="◄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R14" sqref="R14"/>
    </sheetView>
  </sheetViews>
  <sheetFormatPr defaultColWidth="9.140625" defaultRowHeight="15.75" customHeight="1"/>
  <cols>
    <col min="1" max="1" width="5.7109375" style="40" customWidth="1"/>
    <col min="2" max="2" width="9.140625" style="40" customWidth="1"/>
    <col min="3" max="3" width="15.7109375" style="40" customWidth="1"/>
    <col min="4" max="4" width="5.7109375" style="40" customWidth="1"/>
    <col min="5" max="6" width="9.140625" style="40" customWidth="1"/>
    <col min="7" max="7" width="5.7109375" style="40" customWidth="1"/>
    <col min="8" max="8" width="15.7109375" style="40" customWidth="1"/>
    <col min="9" max="9" width="5.7109375" style="40" customWidth="1"/>
    <col min="10" max="11" width="9.140625" style="40" customWidth="1"/>
    <col min="12" max="12" width="11.57421875" style="40" bestFit="1" customWidth="1"/>
    <col min="13" max="16384" width="9.140625" style="40" customWidth="1"/>
  </cols>
  <sheetData>
    <row r="2" spans="1:14" ht="15.75" customHeight="1">
      <c r="A2" s="127" t="s">
        <v>294</v>
      </c>
      <c r="B2" s="242" t="s">
        <v>260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4" spans="2:10" ht="15.75" customHeight="1">
      <c r="B4" s="75" t="s">
        <v>236</v>
      </c>
      <c r="C4" s="122">
        <v>43</v>
      </c>
      <c r="D4" s="40" t="s">
        <v>16</v>
      </c>
      <c r="E4" s="40" t="s">
        <v>261</v>
      </c>
      <c r="G4" s="75" t="s">
        <v>193</v>
      </c>
      <c r="H4" s="123">
        <v>6378388</v>
      </c>
      <c r="I4" s="40" t="s">
        <v>2</v>
      </c>
      <c r="J4" s="40" t="s">
        <v>198</v>
      </c>
    </row>
    <row r="5" spans="2:10" ht="15.75" customHeight="1">
      <c r="B5" s="75" t="s">
        <v>237</v>
      </c>
      <c r="C5" s="122">
        <v>12</v>
      </c>
      <c r="D5" s="40" t="s">
        <v>16</v>
      </c>
      <c r="E5" s="40" t="s">
        <v>262</v>
      </c>
      <c r="G5" s="75" t="s">
        <v>194</v>
      </c>
      <c r="H5" s="2">
        <f>1/297</f>
        <v>0.003367003367003367</v>
      </c>
      <c r="J5" s="40" t="s">
        <v>199</v>
      </c>
    </row>
    <row r="6" spans="7:13" ht="15.75" customHeight="1">
      <c r="G6" s="39"/>
      <c r="H6" s="39"/>
      <c r="I6" s="39"/>
      <c r="J6" s="39"/>
      <c r="K6" s="39"/>
      <c r="L6" s="39"/>
      <c r="M6" s="39"/>
    </row>
    <row r="7" spans="2:5" ht="15.75" customHeight="1">
      <c r="B7" s="75" t="s">
        <v>241</v>
      </c>
      <c r="C7" s="122">
        <v>43.043471</v>
      </c>
      <c r="D7" s="40" t="s">
        <v>16</v>
      </c>
      <c r="E7" s="40" t="s">
        <v>263</v>
      </c>
    </row>
    <row r="8" spans="2:10" ht="15.75" customHeight="1">
      <c r="B8" s="75" t="s">
        <v>242</v>
      </c>
      <c r="C8" s="122">
        <v>12.015881</v>
      </c>
      <c r="D8" s="40" t="s">
        <v>16</v>
      </c>
      <c r="E8" s="40" t="s">
        <v>264</v>
      </c>
      <c r="G8" s="129" t="s">
        <v>219</v>
      </c>
      <c r="H8" s="130">
        <f>H4*(1-H5)</f>
        <v>6356911.9461279465</v>
      </c>
      <c r="I8" s="39" t="s">
        <v>2</v>
      </c>
      <c r="J8" s="40" t="s">
        <v>232</v>
      </c>
    </row>
    <row r="9" spans="7:10" ht="15.75" customHeight="1">
      <c r="G9" s="129" t="s">
        <v>257</v>
      </c>
      <c r="H9" s="131">
        <f>H4/(1-H11*(SIN(C4*PI()/180))^2)^0.5</f>
        <v>6388383.61085277</v>
      </c>
      <c r="I9" s="39" t="s">
        <v>2</v>
      </c>
      <c r="J9" s="40" t="s">
        <v>233</v>
      </c>
    </row>
    <row r="10" spans="1:10" ht="15.75" customHeight="1">
      <c r="A10" s="126"/>
      <c r="G10" s="129" t="s">
        <v>258</v>
      </c>
      <c r="H10" s="131">
        <f>H4*(1-H11)/(1-H11*(SIN(C4*PI()/180))^2)^1.5</f>
        <v>6365340.144195344</v>
      </c>
      <c r="I10" s="39" t="s">
        <v>2</v>
      </c>
      <c r="J10" s="40" t="s">
        <v>259</v>
      </c>
    </row>
    <row r="11" spans="7:10" ht="15.75" customHeight="1">
      <c r="G11" s="74" t="s">
        <v>223</v>
      </c>
      <c r="H11" s="54">
        <f>(H4^2-H8^2)/H4^2</f>
        <v>0.006722670022333227</v>
      </c>
      <c r="I11" s="39"/>
      <c r="J11" s="40" t="s">
        <v>234</v>
      </c>
    </row>
    <row r="12" spans="7:10" ht="15.75" customHeight="1">
      <c r="G12" s="74" t="s">
        <v>228</v>
      </c>
      <c r="H12" s="7">
        <f>(H4^2-H8^2)/H8^2</f>
        <v>0.006768170197224155</v>
      </c>
      <c r="I12" s="39"/>
      <c r="J12" s="40" t="s">
        <v>280</v>
      </c>
    </row>
    <row r="13" spans="7:10" ht="15.75" customHeight="1">
      <c r="G13" s="74" t="s">
        <v>281</v>
      </c>
      <c r="H13" s="10">
        <f>H4^2/H8</f>
        <v>6399936.608108108</v>
      </c>
      <c r="I13" s="39" t="s">
        <v>2</v>
      </c>
      <c r="J13" s="40" t="s">
        <v>282</v>
      </c>
    </row>
    <row r="14" ht="15.75" customHeight="1">
      <c r="G14" s="129"/>
    </row>
    <row r="15" spans="3:8" ht="15.75" customHeight="1">
      <c r="C15" s="62" t="s">
        <v>279</v>
      </c>
      <c r="H15" s="62" t="s">
        <v>279</v>
      </c>
    </row>
    <row r="16" spans="2:9" ht="15.75" customHeight="1">
      <c r="B16" s="75" t="s">
        <v>265</v>
      </c>
      <c r="C16" s="146">
        <f>(C4+C7)/2</f>
        <v>43.0217355</v>
      </c>
      <c r="D16" s="147"/>
      <c r="G16" s="75" t="s">
        <v>272</v>
      </c>
      <c r="H16" s="130">
        <f>TAN((C16^2)*PI()/180)</f>
        <v>1.2291721440233725</v>
      </c>
      <c r="I16" s="147"/>
    </row>
    <row r="17" spans="2:9" ht="15.75" customHeight="1">
      <c r="B17" s="75" t="s">
        <v>266</v>
      </c>
      <c r="C17" s="130">
        <f>H12*(COS(C16*PI()/180))^2</f>
        <v>0.0036175855824157016</v>
      </c>
      <c r="D17" s="147"/>
      <c r="G17" s="75" t="s">
        <v>273</v>
      </c>
      <c r="H17" s="54">
        <f>C17*C21^2</f>
        <v>5.168639776557524E-10</v>
      </c>
      <c r="I17" s="147"/>
    </row>
    <row r="18" spans="2:8" ht="15.75" customHeight="1">
      <c r="B18" s="75" t="s">
        <v>267</v>
      </c>
      <c r="C18" s="130">
        <f>1+C17</f>
        <v>1.0036175855824156</v>
      </c>
      <c r="D18" s="147"/>
      <c r="G18" s="75" t="s">
        <v>274</v>
      </c>
      <c r="H18" s="54">
        <f>C21*(1-1/3*C17*C22^2+1/2*H17*(C18-H16*(5-4*C18)))</f>
        <v>0.00037798862068112965</v>
      </c>
    </row>
    <row r="19" spans="2:9" ht="15.75" customHeight="1">
      <c r="B19" s="75" t="s">
        <v>268</v>
      </c>
      <c r="C19" s="146">
        <f>(C7-C4)/(2*C18)</f>
        <v>0.021657153394123607</v>
      </c>
      <c r="D19" s="147"/>
      <c r="G19" s="75" t="s">
        <v>29</v>
      </c>
      <c r="H19" s="54">
        <f>C22*(1+1/6*H17*(1-H16*(2*C18+7)))</f>
        <v>0.00010132088799349795</v>
      </c>
      <c r="I19" s="147"/>
    </row>
    <row r="20" spans="2:9" ht="15.75" customHeight="1">
      <c r="B20" s="75" t="s">
        <v>7</v>
      </c>
      <c r="C20" s="146">
        <f>(C8-C5)/2</f>
        <v>0.007940500000000128</v>
      </c>
      <c r="D20" s="147"/>
      <c r="G20" s="75" t="s">
        <v>275</v>
      </c>
      <c r="H20" s="54">
        <f>C23*(1+1/3*H17)</f>
        <v>9.472602675178002E-05</v>
      </c>
      <c r="I20" s="147"/>
    </row>
    <row r="21" spans="2:13" ht="15.75" customHeight="1">
      <c r="B21" s="75" t="s">
        <v>269</v>
      </c>
      <c r="C21" s="54">
        <f>SIN(C19*PI()/180)*COS(C20*PI()/180)</f>
        <v>0.00037798862070610457</v>
      </c>
      <c r="D21" s="147"/>
      <c r="G21" s="75" t="s">
        <v>276</v>
      </c>
      <c r="H21" s="54">
        <f>(ATAN(H20)/SQRT(C18))</f>
        <v>9.455515019478287E-05</v>
      </c>
      <c r="M21" s="148"/>
    </row>
    <row r="22" spans="2:8" ht="15.75" customHeight="1">
      <c r="B22" s="75" t="s">
        <v>270</v>
      </c>
      <c r="C22" s="54">
        <f>SIN(C20*PI()/180)*COS(C16*PI()/180)</f>
        <v>0.00010132088808140338</v>
      </c>
      <c r="D22" s="147"/>
      <c r="G22" s="75" t="s">
        <v>277</v>
      </c>
      <c r="H22" s="54">
        <f>SQRT(H18^2+H19^2)</f>
        <v>0.0003913327480651394</v>
      </c>
    </row>
    <row r="23" spans="2:8" ht="15.75" customHeight="1">
      <c r="B23" s="75" t="s">
        <v>271</v>
      </c>
      <c r="C23" s="54">
        <f>(TAN(C20*PI()/180*SQRT(C18))*SIN(C16*PI()/180))/COS(C18*(C19*PI()/180))</f>
        <v>9.472602673545986E-05</v>
      </c>
      <c r="D23" s="147"/>
      <c r="G23" s="75" t="s">
        <v>278</v>
      </c>
      <c r="H23" s="54">
        <f>ATAN(H19/H18)</f>
        <v>0.26189600274231095</v>
      </c>
    </row>
    <row r="24" ht="15.75" customHeight="1">
      <c r="L24" s="141"/>
    </row>
    <row r="26" spans="2:4" ht="15.75" customHeight="1">
      <c r="B26" s="75" t="s">
        <v>239</v>
      </c>
      <c r="C26" s="88">
        <f>H13/SQRT(C18)*PI()/90*(ASIN(H22)*180/PI())</f>
        <v>4999.973936147567</v>
      </c>
      <c r="D26" s="40" t="s">
        <v>2</v>
      </c>
    </row>
    <row r="27" spans="2:4" ht="15.75" customHeight="1">
      <c r="B27" s="49" t="s">
        <v>238</v>
      </c>
      <c r="C27" s="133">
        <f>(H23-H21)*180/PI()</f>
        <v>15.000118017443665</v>
      </c>
      <c r="D27" s="40" t="s">
        <v>16</v>
      </c>
    </row>
    <row r="28" spans="2:4" ht="15.75" customHeight="1">
      <c r="B28" s="49" t="s">
        <v>243</v>
      </c>
      <c r="C28" s="133">
        <f>IF(((H23+H21)*180/PI())&lt;180,(H23+H21)*180/PI(),((H23+H21)*180/PI())+180)</f>
        <v>15.01095323951844</v>
      </c>
      <c r="D28" s="40" t="s">
        <v>16</v>
      </c>
    </row>
  </sheetData>
  <sheetProtection password="CE90" sheet="1"/>
  <mergeCells count="1">
    <mergeCell ref="B2:N2"/>
  </mergeCells>
  <hyperlinks>
    <hyperlink ref="A2" location="INDEX!A1" display="◄"/>
  </hyperlink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01"/>
  <sheetViews>
    <sheetView zoomScalePageLayoutView="0" workbookViewId="0" topLeftCell="A22">
      <selection activeCell="K42" sqref="K42"/>
    </sheetView>
  </sheetViews>
  <sheetFormatPr defaultColWidth="9.140625" defaultRowHeight="15.75" customHeight="1"/>
  <cols>
    <col min="1" max="1" width="5.7109375" style="114" customWidth="1"/>
    <col min="2" max="2" width="9.140625" style="114" customWidth="1"/>
    <col min="3" max="3" width="15.7109375" style="114" customWidth="1"/>
    <col min="4" max="4" width="5.7109375" style="114" customWidth="1"/>
    <col min="5" max="5" width="13.421875" style="114" customWidth="1"/>
    <col min="6" max="6" width="12.8515625" style="114" customWidth="1"/>
    <col min="7" max="7" width="15.7109375" style="114" customWidth="1"/>
    <col min="8" max="8" width="5.7109375" style="114" customWidth="1"/>
    <col min="9" max="9" width="14.57421875" style="114" customWidth="1"/>
    <col min="10" max="10" width="9.140625" style="114" customWidth="1"/>
    <col min="11" max="11" width="10.57421875" style="114" bestFit="1" customWidth="1"/>
    <col min="12" max="12" width="9.140625" style="114" customWidth="1"/>
    <col min="13" max="13" width="5.7109375" style="114" customWidth="1"/>
    <col min="14" max="16384" width="9.140625" style="114" customWidth="1"/>
  </cols>
  <sheetData>
    <row r="2" spans="1:10" ht="15.75" customHeight="1">
      <c r="A2" s="127" t="s">
        <v>294</v>
      </c>
      <c r="B2" s="242" t="s">
        <v>296</v>
      </c>
      <c r="C2" s="242"/>
      <c r="D2" s="242"/>
      <c r="E2" s="242"/>
      <c r="F2" s="242"/>
      <c r="G2" s="242"/>
      <c r="H2" s="242"/>
      <c r="I2" s="242"/>
      <c r="J2" s="242"/>
    </row>
    <row r="3" spans="1:10" ht="15.75" customHeight="1">
      <c r="A3" s="127"/>
      <c r="B3" s="149"/>
      <c r="C3" s="149"/>
      <c r="D3" s="149"/>
      <c r="E3" s="150"/>
      <c r="F3" s="149"/>
      <c r="G3" s="149"/>
      <c r="H3" s="149"/>
      <c r="I3" s="149"/>
      <c r="J3" s="149"/>
    </row>
    <row r="4" spans="1:10" ht="15.75" customHeight="1">
      <c r="A4" s="127"/>
      <c r="B4" s="128" t="s">
        <v>303</v>
      </c>
      <c r="C4" s="149"/>
      <c r="D4" s="149"/>
      <c r="E4" s="150"/>
      <c r="F4" s="149"/>
      <c r="G4" s="149"/>
      <c r="H4" s="149"/>
      <c r="I4" s="149"/>
      <c r="J4" s="149"/>
    </row>
    <row r="5" spans="1:10" ht="15.75" customHeight="1">
      <c r="A5" s="127"/>
      <c r="B5" s="149"/>
      <c r="C5" s="149"/>
      <c r="D5" s="149"/>
      <c r="E5" s="150"/>
      <c r="F5" s="149"/>
      <c r="G5" s="149"/>
      <c r="H5" s="149"/>
      <c r="I5" s="149"/>
      <c r="J5" s="149"/>
    </row>
    <row r="6" spans="1:12" ht="15.75" customHeight="1">
      <c r="A6" s="151" t="s">
        <v>218</v>
      </c>
      <c r="B6" s="75" t="s">
        <v>226</v>
      </c>
      <c r="C6" s="122">
        <v>43.5</v>
      </c>
      <c r="D6" s="40" t="s">
        <v>16</v>
      </c>
      <c r="E6" s="114" t="s">
        <v>188</v>
      </c>
      <c r="F6" s="75" t="s">
        <v>193</v>
      </c>
      <c r="G6" s="123">
        <v>6378388</v>
      </c>
      <c r="H6" s="40" t="s">
        <v>2</v>
      </c>
      <c r="I6" s="40" t="s">
        <v>198</v>
      </c>
      <c r="J6" s="40"/>
      <c r="K6" s="40"/>
      <c r="L6" s="40"/>
    </row>
    <row r="7" spans="1:12" ht="15.75" customHeight="1">
      <c r="A7" s="127"/>
      <c r="B7" s="75" t="s">
        <v>227</v>
      </c>
      <c r="C7" s="122">
        <v>12.5</v>
      </c>
      <c r="D7" s="40" t="s">
        <v>16</v>
      </c>
      <c r="E7" s="114" t="s">
        <v>189</v>
      </c>
      <c r="F7" s="75" t="s">
        <v>194</v>
      </c>
      <c r="G7" s="2">
        <v>0.003367003367</v>
      </c>
      <c r="H7" s="40"/>
      <c r="I7" s="40" t="s">
        <v>199</v>
      </c>
      <c r="J7" s="40"/>
      <c r="K7" s="40"/>
      <c r="L7" s="40"/>
    </row>
    <row r="8" spans="1:10" ht="15.75" customHeight="1">
      <c r="A8" s="127"/>
      <c r="B8" s="149"/>
      <c r="C8" s="149"/>
      <c r="D8" s="149"/>
      <c r="E8" s="150"/>
      <c r="F8" s="149"/>
      <c r="G8" s="149"/>
      <c r="H8" s="149"/>
      <c r="I8" s="149"/>
      <c r="J8" s="149"/>
    </row>
    <row r="9" spans="1:10" ht="15.75" customHeight="1">
      <c r="A9" s="127"/>
      <c r="B9" s="149"/>
      <c r="C9" s="149"/>
      <c r="D9" s="149"/>
      <c r="E9" s="150"/>
      <c r="F9" s="49" t="s">
        <v>219</v>
      </c>
      <c r="G9" s="130">
        <f>G6*(1-G7)</f>
        <v>6356911.946127968</v>
      </c>
      <c r="H9" s="39" t="s">
        <v>2</v>
      </c>
      <c r="I9" s="40" t="s">
        <v>232</v>
      </c>
      <c r="J9" s="149"/>
    </row>
    <row r="10" spans="1:10" ht="15.75" customHeight="1">
      <c r="A10" s="127"/>
      <c r="B10" s="149"/>
      <c r="C10" s="149"/>
      <c r="D10" s="149"/>
      <c r="E10" s="150"/>
      <c r="F10" s="152" t="s">
        <v>297</v>
      </c>
      <c r="G10" s="153">
        <f>(G6^2-G9^2)/G6^2</f>
        <v>0.006722670022326506</v>
      </c>
      <c r="H10" s="39"/>
      <c r="I10" s="40" t="s">
        <v>234</v>
      </c>
      <c r="J10" s="149"/>
    </row>
    <row r="11" spans="1:10" ht="15.75" customHeight="1">
      <c r="A11" s="127"/>
      <c r="B11" s="149"/>
      <c r="C11" s="149"/>
      <c r="D11" s="149"/>
      <c r="E11" s="150"/>
      <c r="F11" s="152" t="s">
        <v>298</v>
      </c>
      <c r="G11" s="153">
        <f>(G6^2-G9^2)/G9^2</f>
        <v>0.006768170197217343</v>
      </c>
      <c r="H11" s="39"/>
      <c r="I11" s="40" t="s">
        <v>280</v>
      </c>
      <c r="J11" s="149"/>
    </row>
    <row r="12" spans="1:10" ht="15.75" customHeight="1">
      <c r="A12" s="127"/>
      <c r="B12" s="149"/>
      <c r="C12" s="149"/>
      <c r="D12" s="149"/>
      <c r="E12" s="150"/>
      <c r="F12" s="74"/>
      <c r="G12" s="154"/>
      <c r="H12" s="39"/>
      <c r="I12" s="40"/>
      <c r="J12" s="149"/>
    </row>
    <row r="13" spans="1:10" ht="15.75" customHeight="1">
      <c r="A13" s="127"/>
      <c r="B13" s="75" t="s">
        <v>300</v>
      </c>
      <c r="C13" s="122">
        <v>9</v>
      </c>
      <c r="D13" s="40" t="s">
        <v>16</v>
      </c>
      <c r="E13" s="150" t="s">
        <v>299</v>
      </c>
      <c r="F13" s="74"/>
      <c r="G13" s="154"/>
      <c r="H13" s="39"/>
      <c r="I13" s="40"/>
      <c r="J13" s="149"/>
    </row>
    <row r="14" spans="1:10" ht="15.75" customHeight="1">
      <c r="A14" s="127"/>
      <c r="B14" s="49" t="s">
        <v>301</v>
      </c>
      <c r="C14" s="124">
        <v>0.9996</v>
      </c>
      <c r="D14" s="149"/>
      <c r="E14" s="150" t="s">
        <v>326</v>
      </c>
      <c r="F14" s="74"/>
      <c r="G14" s="154"/>
      <c r="H14" s="39"/>
      <c r="I14" s="40"/>
      <c r="J14" s="149"/>
    </row>
    <row r="15" spans="1:10" ht="15.75" customHeight="1">
      <c r="A15" s="127"/>
      <c r="B15" s="149"/>
      <c r="C15" s="149"/>
      <c r="D15" s="149"/>
      <c r="E15" s="150"/>
      <c r="F15" s="74"/>
      <c r="G15" s="154"/>
      <c r="H15" s="39"/>
      <c r="I15" s="40"/>
      <c r="J15" s="149"/>
    </row>
    <row r="16" spans="1:10" ht="15.75" customHeight="1">
      <c r="A16" s="127"/>
      <c r="B16" s="49" t="s">
        <v>302</v>
      </c>
      <c r="C16" s="124">
        <v>500000</v>
      </c>
      <c r="D16" s="150" t="s">
        <v>2</v>
      </c>
      <c r="E16" s="155" t="s">
        <v>322</v>
      </c>
      <c r="F16" s="74"/>
      <c r="G16" s="154"/>
      <c r="H16" s="39"/>
      <c r="I16" s="40"/>
      <c r="J16" s="149"/>
    </row>
    <row r="17" spans="1:10" ht="15.75" customHeight="1">
      <c r="A17" s="127"/>
      <c r="B17" s="49"/>
      <c r="C17" s="149"/>
      <c r="D17" s="149"/>
      <c r="E17" s="150"/>
      <c r="F17" s="74"/>
      <c r="G17" s="154"/>
      <c r="H17" s="39"/>
      <c r="I17" s="40"/>
      <c r="J17" s="149"/>
    </row>
    <row r="18" spans="1:16" ht="15.75" customHeight="1">
      <c r="A18" s="127"/>
      <c r="B18" s="49" t="s">
        <v>308</v>
      </c>
      <c r="C18" s="156">
        <f>C14*G6*(1-G10/4-3*C22^4/64-5*C22^6/256)</f>
        <v>6365107.438397262</v>
      </c>
      <c r="D18" s="150" t="s">
        <v>2</v>
      </c>
      <c r="E18" s="150"/>
      <c r="F18" s="75" t="s">
        <v>304</v>
      </c>
      <c r="G18" s="146">
        <f>C7-C13</f>
        <v>3.5</v>
      </c>
      <c r="H18" s="39" t="s">
        <v>16</v>
      </c>
      <c r="I18" s="40"/>
      <c r="J18" s="149"/>
      <c r="K18" s="40"/>
      <c r="O18" s="157"/>
      <c r="P18" s="157"/>
    </row>
    <row r="19" spans="1:16" ht="15.75" customHeight="1">
      <c r="A19" s="127"/>
      <c r="B19" s="49" t="s">
        <v>309</v>
      </c>
      <c r="C19" s="158">
        <f>C14*G6*(3*G10/8+3*C22^4/32+45*C22^6/1024)</f>
        <v>16100.591529295398</v>
      </c>
      <c r="D19" s="150" t="s">
        <v>2</v>
      </c>
      <c r="E19" s="150"/>
      <c r="F19" s="152" t="s">
        <v>281</v>
      </c>
      <c r="G19" s="131">
        <f>C14*G6^2/G9</f>
        <v>6397376.633464844</v>
      </c>
      <c r="H19" s="39" t="s">
        <v>2</v>
      </c>
      <c r="I19" s="40"/>
      <c r="J19" s="149"/>
      <c r="O19" s="157"/>
      <c r="P19" s="157"/>
    </row>
    <row r="20" spans="1:16" ht="15.75" customHeight="1">
      <c r="A20" s="127"/>
      <c r="B20" s="49" t="s">
        <v>310</v>
      </c>
      <c r="C20" s="158">
        <f>C14*G6*(15*C22^4/256+45*C22^6/1024)</f>
        <v>16.969001058849596</v>
      </c>
      <c r="D20" s="150" t="s">
        <v>2</v>
      </c>
      <c r="E20" s="150"/>
      <c r="F20" s="152" t="s">
        <v>313</v>
      </c>
      <c r="G20" s="54">
        <f>SQRT(1+G11*(COS(C6*PI()/180))^2)</f>
        <v>1.0017790147673546</v>
      </c>
      <c r="H20" s="39"/>
      <c r="I20" s="40"/>
      <c r="J20" s="149"/>
      <c r="K20" s="157"/>
      <c r="L20" s="157"/>
      <c r="M20" s="157"/>
      <c r="N20" s="157"/>
      <c r="O20" s="157"/>
      <c r="P20" s="157"/>
    </row>
    <row r="21" spans="1:16" ht="15.75" customHeight="1">
      <c r="A21" s="127"/>
      <c r="B21" s="49" t="s">
        <v>311</v>
      </c>
      <c r="C21" s="158">
        <f>C14*G6*(35*C22^6/3072)</f>
        <v>0.02207035905769908</v>
      </c>
      <c r="D21" s="150" t="s">
        <v>2</v>
      </c>
      <c r="E21" s="150"/>
      <c r="F21" s="152" t="s">
        <v>305</v>
      </c>
      <c r="G21" s="54">
        <f>ATAN(TAN(C6*PI()/180)/(COS(G20*G18*PI()/180)))</f>
        <v>0.7601537840585663</v>
      </c>
      <c r="H21" s="132" t="s">
        <v>224</v>
      </c>
      <c r="I21" s="40"/>
      <c r="J21" s="149"/>
      <c r="K21" s="157"/>
      <c r="L21" s="157"/>
      <c r="M21" s="157"/>
      <c r="N21" s="157"/>
      <c r="O21" s="157"/>
      <c r="P21" s="157"/>
    </row>
    <row r="22" spans="1:16" ht="15.75" customHeight="1">
      <c r="A22" s="127"/>
      <c r="B22" s="49" t="s">
        <v>314</v>
      </c>
      <c r="C22" s="159">
        <f>SQRT(G10)</f>
        <v>0.08199188997898821</v>
      </c>
      <c r="D22" s="150"/>
      <c r="E22" s="150"/>
      <c r="F22" s="152" t="s">
        <v>306</v>
      </c>
      <c r="G22" s="54">
        <f>SQRT(1+G11*COS(G21)^2)</f>
        <v>1.001775858550304</v>
      </c>
      <c r="H22" s="39"/>
      <c r="I22" s="40"/>
      <c r="J22" s="149"/>
      <c r="K22" s="157"/>
      <c r="L22" s="157"/>
      <c r="M22" s="157"/>
      <c r="N22" s="157"/>
      <c r="O22" s="157"/>
      <c r="P22" s="157"/>
    </row>
    <row r="23" spans="1:16" ht="15.75" customHeight="1">
      <c r="A23" s="127"/>
      <c r="B23" s="49" t="s">
        <v>312</v>
      </c>
      <c r="C23" s="158">
        <f>C18*G21-C19*SIN(2*G21)+C20*SIN(4*G21)-C21*SIN(6*G21)</f>
        <v>4822382.162871392</v>
      </c>
      <c r="D23" s="150" t="s">
        <v>2</v>
      </c>
      <c r="E23" s="150"/>
      <c r="F23" s="152" t="s">
        <v>307</v>
      </c>
      <c r="G23" s="131">
        <f>G19*ASINH(COS(G21)*TAN(G18*PI()/180)/G22)</f>
        <v>282977.6266493555</v>
      </c>
      <c r="H23" s="39" t="s">
        <v>2</v>
      </c>
      <c r="I23" s="40"/>
      <c r="J23" s="149"/>
      <c r="K23" s="157"/>
      <c r="L23" s="157"/>
      <c r="M23" s="157"/>
      <c r="N23" s="157"/>
      <c r="O23" s="157"/>
      <c r="P23" s="157"/>
    </row>
    <row r="24" spans="1:16" ht="15.75" customHeight="1">
      <c r="A24" s="127"/>
      <c r="B24" s="149"/>
      <c r="C24" s="149"/>
      <c r="D24" s="149"/>
      <c r="E24" s="150"/>
      <c r="F24" s="74"/>
      <c r="G24" s="154"/>
      <c r="H24" s="39"/>
      <c r="I24" s="40"/>
      <c r="J24" s="149"/>
      <c r="K24" s="157"/>
      <c r="L24" s="157"/>
      <c r="M24" s="157"/>
      <c r="N24" s="157"/>
      <c r="O24" s="157"/>
      <c r="P24" s="157"/>
    </row>
    <row r="25" spans="1:16" ht="15.75" customHeight="1">
      <c r="A25" s="151" t="s">
        <v>1</v>
      </c>
      <c r="B25" s="49" t="s">
        <v>178</v>
      </c>
      <c r="C25" s="88">
        <f>G23+C16</f>
        <v>782977.6266493555</v>
      </c>
      <c r="D25" s="150" t="s">
        <v>2</v>
      </c>
      <c r="E25" s="150"/>
      <c r="F25" s="74"/>
      <c r="G25" s="154"/>
      <c r="H25" s="39"/>
      <c r="I25" s="40"/>
      <c r="J25" s="149"/>
      <c r="K25" s="157"/>
      <c r="L25" s="157"/>
      <c r="M25" s="157"/>
      <c r="N25" s="157"/>
      <c r="O25" s="157"/>
      <c r="P25" s="157"/>
    </row>
    <row r="26" spans="1:16" ht="15.75" customHeight="1">
      <c r="A26" s="127"/>
      <c r="B26" s="49" t="s">
        <v>217</v>
      </c>
      <c r="C26" s="88">
        <f>C23</f>
        <v>4822382.162871392</v>
      </c>
      <c r="D26" s="150" t="s">
        <v>2</v>
      </c>
      <c r="E26" s="150"/>
      <c r="F26" s="74"/>
      <c r="G26" s="154"/>
      <c r="H26" s="39"/>
      <c r="I26" s="40"/>
      <c r="J26" s="149"/>
      <c r="K26" s="160"/>
      <c r="L26" s="160"/>
      <c r="M26" s="160"/>
      <c r="N26" s="157"/>
      <c r="O26" s="157"/>
      <c r="P26" s="157"/>
    </row>
    <row r="27" spans="1:16" ht="15.75" customHeight="1">
      <c r="A27" s="127"/>
      <c r="B27" s="149"/>
      <c r="C27" s="149"/>
      <c r="D27" s="149"/>
      <c r="E27" s="150"/>
      <c r="F27" s="74"/>
      <c r="G27" s="154"/>
      <c r="H27" s="39"/>
      <c r="I27" s="40"/>
      <c r="J27" s="149"/>
      <c r="O27" s="157"/>
      <c r="P27" s="157"/>
    </row>
    <row r="28" spans="1:16" ht="15.75" customHeight="1">
      <c r="A28" s="127"/>
      <c r="B28" s="149"/>
      <c r="C28" s="149"/>
      <c r="D28" s="149"/>
      <c r="E28" s="150"/>
      <c r="F28" s="161"/>
      <c r="G28" s="154"/>
      <c r="H28" s="39"/>
      <c r="I28" s="40"/>
      <c r="J28" s="149"/>
      <c r="O28" s="157"/>
      <c r="P28" s="157"/>
    </row>
    <row r="29" spans="1:16" ht="15.75" customHeight="1">
      <c r="A29" s="127"/>
      <c r="B29" s="128" t="s">
        <v>315</v>
      </c>
      <c r="C29" s="149"/>
      <c r="D29" s="149"/>
      <c r="E29" s="150"/>
      <c r="F29" s="74"/>
      <c r="G29" s="154"/>
      <c r="H29" s="39"/>
      <c r="I29" s="40"/>
      <c r="J29" s="149"/>
      <c r="O29" s="157"/>
      <c r="P29" s="157"/>
    </row>
    <row r="30" spans="1:16" ht="15.75" customHeight="1">
      <c r="A30" s="127"/>
      <c r="B30" s="149"/>
      <c r="C30" s="149"/>
      <c r="D30" s="149"/>
      <c r="E30" s="150"/>
      <c r="F30" s="74"/>
      <c r="G30" s="154"/>
      <c r="H30" s="39"/>
      <c r="I30" s="40"/>
      <c r="J30" s="149"/>
      <c r="O30" s="157"/>
      <c r="P30" s="157"/>
    </row>
    <row r="31" spans="1:10" ht="15.75" customHeight="1">
      <c r="A31" s="151" t="s">
        <v>218</v>
      </c>
      <c r="B31" s="49" t="s">
        <v>178</v>
      </c>
      <c r="C31" s="124">
        <v>769936.381</v>
      </c>
      <c r="D31" s="150" t="s">
        <v>2</v>
      </c>
      <c r="E31" s="150"/>
      <c r="F31" s="162"/>
      <c r="G31" s="154"/>
      <c r="H31" s="39"/>
      <c r="I31" s="40"/>
      <c r="J31" s="149"/>
    </row>
    <row r="32" spans="1:10" ht="15.75" customHeight="1">
      <c r="A32" s="127"/>
      <c r="B32" s="49" t="s">
        <v>217</v>
      </c>
      <c r="C32" s="124">
        <v>4803427.725</v>
      </c>
      <c r="D32" s="150" t="s">
        <v>2</v>
      </c>
      <c r="E32" s="150"/>
      <c r="F32" s="74"/>
      <c r="G32" s="154"/>
      <c r="H32" s="39"/>
      <c r="I32" s="40"/>
      <c r="J32" s="163"/>
    </row>
    <row r="33" spans="1:10" ht="15.75" customHeight="1">
      <c r="A33" s="164"/>
      <c r="J33" s="40"/>
    </row>
    <row r="34" spans="2:10" ht="15.75" customHeight="1">
      <c r="B34" s="49" t="s">
        <v>308</v>
      </c>
      <c r="C34" s="158">
        <f>C14*G6*(1-G10/4-3*C22^4/64-5*C22^6/256)</f>
        <v>6365107.438397262</v>
      </c>
      <c r="D34" s="150" t="s">
        <v>2</v>
      </c>
      <c r="E34" s="150"/>
      <c r="F34" s="75" t="s">
        <v>307</v>
      </c>
      <c r="G34" s="131">
        <f>C31-C16</f>
        <v>269936.38100000005</v>
      </c>
      <c r="H34" s="39" t="s">
        <v>2</v>
      </c>
      <c r="I34" s="40"/>
      <c r="J34" s="163"/>
    </row>
    <row r="35" spans="2:10" ht="15.75" customHeight="1">
      <c r="B35" s="49" t="s">
        <v>316</v>
      </c>
      <c r="C35" s="156">
        <f>3*G36/2-27*G36^3/32</f>
        <v>0.0025295069149895762</v>
      </c>
      <c r="D35" s="132" t="s">
        <v>224</v>
      </c>
      <c r="E35" s="150"/>
      <c r="F35" s="152" t="s">
        <v>281</v>
      </c>
      <c r="G35" s="131">
        <f>C14*G6^2/G9</f>
        <v>6397376.633464844</v>
      </c>
      <c r="H35" s="39" t="s">
        <v>2</v>
      </c>
      <c r="I35" s="40"/>
      <c r="J35" s="40"/>
    </row>
    <row r="36" spans="2:10" ht="15.75" customHeight="1">
      <c r="B36" s="49" t="s">
        <v>318</v>
      </c>
      <c r="C36" s="159">
        <f>21*G36^2/16-55*G36^4/32</f>
        <v>3.732401094019887E-06</v>
      </c>
      <c r="D36" s="132" t="s">
        <v>224</v>
      </c>
      <c r="E36" s="150"/>
      <c r="F36" s="152" t="s">
        <v>320</v>
      </c>
      <c r="G36" s="54">
        <f>(1-SQRT(1-G10))/(1+SQRT(1-G10))</f>
        <v>0.0016863406408077091</v>
      </c>
      <c r="H36" s="39"/>
      <c r="I36" s="40"/>
      <c r="J36" s="163"/>
    </row>
    <row r="37" spans="2:10" ht="15.75" customHeight="1">
      <c r="B37" s="49" t="s">
        <v>317</v>
      </c>
      <c r="C37" s="159">
        <f>151*G36^3/96</f>
        <v>7.542957038405729E-09</v>
      </c>
      <c r="D37" s="132" t="s">
        <v>224</v>
      </c>
      <c r="E37" s="150"/>
      <c r="F37" s="152" t="s">
        <v>305</v>
      </c>
      <c r="G37" s="54">
        <f>C39+C35*SIN(2*C39)+C36*SIN(4*C39)+C37*SIN(6*C39)+C38*SIN(8*C39)</f>
        <v>0.7571750810380223</v>
      </c>
      <c r="H37" s="132" t="s">
        <v>224</v>
      </c>
      <c r="I37" s="40"/>
      <c r="J37" s="40"/>
    </row>
    <row r="38" spans="2:10" ht="15.75" customHeight="1">
      <c r="B38" s="49" t="s">
        <v>319</v>
      </c>
      <c r="C38" s="159">
        <f>1097*G36^4/512</f>
        <v>1.732678127643124E-11</v>
      </c>
      <c r="D38" s="132" t="s">
        <v>224</v>
      </c>
      <c r="E38" s="150"/>
      <c r="F38" s="152" t="s">
        <v>306</v>
      </c>
      <c r="G38" s="54">
        <f>SQRT(1+G11*COS(G37)^2)</f>
        <v>1.0017859064208177</v>
      </c>
      <c r="H38" s="39"/>
      <c r="I38" s="40"/>
      <c r="J38" s="163"/>
    </row>
    <row r="39" spans="2:10" ht="15.75" customHeight="1">
      <c r="B39" s="49" t="s">
        <v>321</v>
      </c>
      <c r="C39" s="159">
        <f>C32/C34</f>
        <v>0.7546499052040362</v>
      </c>
      <c r="D39" s="150"/>
      <c r="E39" s="150"/>
      <c r="F39" s="75" t="s">
        <v>304</v>
      </c>
      <c r="G39" s="54">
        <f>ATAN((G38*SINH(G34/G35))/COS(G37))</f>
        <v>0.058112757572015866</v>
      </c>
      <c r="H39" s="132" t="s">
        <v>224</v>
      </c>
      <c r="I39" s="40"/>
      <c r="J39" s="40"/>
    </row>
    <row r="40" spans="2:10" ht="15.75" customHeight="1">
      <c r="B40" s="149"/>
      <c r="C40" s="150"/>
      <c r="D40" s="150"/>
      <c r="E40" s="150"/>
      <c r="F40" s="74"/>
      <c r="G40" s="154"/>
      <c r="H40" s="39"/>
      <c r="I40" s="40"/>
      <c r="J40" s="163"/>
    </row>
    <row r="41" spans="1:10" ht="15.75" customHeight="1">
      <c r="A41" s="151" t="s">
        <v>1</v>
      </c>
      <c r="B41" s="49" t="s">
        <v>226</v>
      </c>
      <c r="C41" s="133">
        <f>ATAN(TAN(G37)*COS(G38*G39))*180/PI()</f>
        <v>43.33444253051341</v>
      </c>
      <c r="D41" s="149" t="s">
        <v>16</v>
      </c>
      <c r="E41" s="150"/>
      <c r="F41" s="74"/>
      <c r="G41" s="154"/>
      <c r="H41" s="39"/>
      <c r="I41" s="40"/>
      <c r="J41" s="40"/>
    </row>
    <row r="42" spans="2:13" ht="15.75" customHeight="1">
      <c r="B42" s="49" t="s">
        <v>227</v>
      </c>
      <c r="C42" s="133">
        <f>G39/PI()*180+C13</f>
        <v>12.329615744743426</v>
      </c>
      <c r="D42" s="149" t="s">
        <v>16</v>
      </c>
      <c r="E42" s="150"/>
      <c r="F42" s="74"/>
      <c r="G42" s="154"/>
      <c r="H42" s="39"/>
      <c r="I42" s="40"/>
      <c r="J42" s="163"/>
      <c r="K42" s="165"/>
      <c r="L42" s="165"/>
      <c r="M42" s="165"/>
    </row>
    <row r="43" spans="2:13" ht="15.75" customHeight="1">
      <c r="B43" s="150"/>
      <c r="C43" s="150"/>
      <c r="D43" s="150"/>
      <c r="E43" s="150"/>
      <c r="F43" s="74"/>
      <c r="G43" s="166"/>
      <c r="H43" s="167"/>
      <c r="I43" s="168"/>
      <c r="J43" s="168"/>
      <c r="K43" s="264"/>
      <c r="L43" s="264"/>
      <c r="M43" s="264"/>
    </row>
    <row r="44" spans="2:13" ht="15.75" customHeight="1">
      <c r="B44" s="150"/>
      <c r="C44" s="150"/>
      <c r="D44" s="150"/>
      <c r="E44" s="150"/>
      <c r="F44" s="74"/>
      <c r="G44" s="166"/>
      <c r="H44" s="167"/>
      <c r="I44" s="168"/>
      <c r="J44" s="163"/>
      <c r="K44" s="170"/>
      <c r="L44" s="170"/>
      <c r="M44" s="171"/>
    </row>
    <row r="45" spans="2:13" ht="15.75" customHeight="1">
      <c r="B45" s="263" t="s">
        <v>323</v>
      </c>
      <c r="C45" s="263"/>
      <c r="D45" s="263"/>
      <c r="E45" s="263"/>
      <c r="F45" s="263"/>
      <c r="G45" s="263"/>
      <c r="H45" s="263"/>
      <c r="I45" s="263"/>
      <c r="J45" s="263"/>
      <c r="K45" s="170"/>
      <c r="L45" s="170"/>
      <c r="M45" s="171"/>
    </row>
    <row r="46" spans="2:13" ht="15.75" customHeight="1">
      <c r="B46" s="150"/>
      <c r="C46" s="150"/>
      <c r="D46" s="150"/>
      <c r="E46" s="150"/>
      <c r="F46" s="74"/>
      <c r="G46" s="166"/>
      <c r="H46" s="167"/>
      <c r="I46" s="168"/>
      <c r="J46" s="163"/>
      <c r="K46" s="169"/>
      <c r="L46" s="169"/>
      <c r="M46" s="169"/>
    </row>
    <row r="47" spans="2:13" ht="15.75" customHeight="1">
      <c r="B47" s="157">
        <v>1500000</v>
      </c>
      <c r="C47" s="157" t="s">
        <v>342</v>
      </c>
      <c r="D47" s="157"/>
      <c r="E47" s="157"/>
      <c r="F47" s="172"/>
      <c r="K47" s="165"/>
      <c r="L47" s="165"/>
      <c r="M47" s="165"/>
    </row>
    <row r="48" spans="2:6" ht="15.75" customHeight="1">
      <c r="B48" s="157">
        <v>2520000</v>
      </c>
      <c r="C48" s="157" t="s">
        <v>343</v>
      </c>
      <c r="D48" s="157"/>
      <c r="E48" s="157"/>
      <c r="F48" s="172"/>
    </row>
    <row r="49" spans="2:10" ht="15.75" customHeight="1">
      <c r="B49" s="150"/>
      <c r="C49" s="150"/>
      <c r="D49" s="150"/>
      <c r="E49" s="150"/>
      <c r="F49" s="74"/>
      <c r="G49" s="166"/>
      <c r="H49" s="167"/>
      <c r="I49" s="168"/>
      <c r="J49" s="163"/>
    </row>
    <row r="50" spans="2:6" ht="15.75" customHeight="1">
      <c r="B50" s="157">
        <v>500000</v>
      </c>
      <c r="C50" s="157" t="s">
        <v>324</v>
      </c>
      <c r="D50" s="157"/>
      <c r="E50" s="157"/>
      <c r="F50" s="172"/>
    </row>
    <row r="51" spans="2:10" ht="15.75" customHeight="1">
      <c r="B51" s="150"/>
      <c r="C51" s="150"/>
      <c r="D51" s="150"/>
      <c r="E51" s="150"/>
      <c r="F51" s="74"/>
      <c r="G51" s="166"/>
      <c r="H51" s="167"/>
      <c r="I51" s="168"/>
      <c r="J51" s="163"/>
    </row>
    <row r="52" spans="2:14" ht="15.75" customHeight="1">
      <c r="B52" s="160">
        <v>10000000</v>
      </c>
      <c r="C52" s="160" t="s">
        <v>325</v>
      </c>
      <c r="D52" s="160"/>
      <c r="E52" s="157"/>
      <c r="F52" s="157"/>
      <c r="G52" s="157"/>
      <c r="J52" s="165"/>
      <c r="K52" s="165"/>
      <c r="L52" s="165"/>
      <c r="M52" s="165"/>
      <c r="N52" s="165"/>
    </row>
    <row r="53" spans="2:14" ht="15.75" customHeight="1">
      <c r="B53" s="150"/>
      <c r="C53" s="150"/>
      <c r="D53" s="150"/>
      <c r="E53" s="150"/>
      <c r="F53" s="74"/>
      <c r="G53" s="166"/>
      <c r="H53" s="167"/>
      <c r="I53" s="168"/>
      <c r="J53" s="173"/>
      <c r="K53" s="165"/>
      <c r="L53" s="165"/>
      <c r="M53" s="165"/>
      <c r="N53" s="165"/>
    </row>
    <row r="54" spans="2:14" ht="15.75" customHeight="1">
      <c r="B54" s="150"/>
      <c r="C54" s="150"/>
      <c r="D54" s="150"/>
      <c r="E54" s="150"/>
      <c r="F54" s="74"/>
      <c r="G54" s="166"/>
      <c r="H54" s="167"/>
      <c r="I54" s="168"/>
      <c r="J54" s="173"/>
      <c r="K54" s="165"/>
      <c r="L54" s="165"/>
      <c r="M54" s="165"/>
      <c r="N54" s="165"/>
    </row>
    <row r="55" spans="2:14" ht="15.75" customHeight="1">
      <c r="B55" s="150"/>
      <c r="C55" s="150"/>
      <c r="D55" s="150"/>
      <c r="E55" s="150"/>
      <c r="F55" s="74"/>
      <c r="G55" s="166"/>
      <c r="H55" s="167"/>
      <c r="I55" s="168"/>
      <c r="J55" s="173"/>
      <c r="K55" s="174"/>
      <c r="L55" s="174"/>
      <c r="M55" s="175"/>
      <c r="N55" s="165"/>
    </row>
    <row r="56" spans="2:14" ht="15.75" customHeight="1">
      <c r="B56" s="150"/>
      <c r="C56" s="150"/>
      <c r="D56" s="150"/>
      <c r="E56" s="150"/>
      <c r="F56" s="74"/>
      <c r="G56" s="166"/>
      <c r="H56" s="167"/>
      <c r="I56" s="168"/>
      <c r="J56" s="173"/>
      <c r="K56" s="174"/>
      <c r="L56" s="174"/>
      <c r="M56" s="175"/>
      <c r="N56" s="165"/>
    </row>
    <row r="57" spans="2:14" ht="15.75" customHeight="1">
      <c r="B57" s="150"/>
      <c r="C57" s="150"/>
      <c r="D57" s="150"/>
      <c r="E57" s="150"/>
      <c r="F57" s="74"/>
      <c r="G57" s="166"/>
      <c r="H57" s="167"/>
      <c r="I57" s="168"/>
      <c r="J57" s="173"/>
      <c r="K57" s="176"/>
      <c r="L57" s="176"/>
      <c r="M57" s="176"/>
      <c r="N57" s="165"/>
    </row>
    <row r="58" spans="7:16" ht="15.75" customHeight="1">
      <c r="G58" s="157"/>
      <c r="H58" s="157"/>
      <c r="I58" s="157"/>
      <c r="J58" s="160"/>
      <c r="K58" s="160"/>
      <c r="L58" s="160"/>
      <c r="M58" s="160"/>
      <c r="N58" s="160"/>
      <c r="O58" s="157"/>
      <c r="P58" s="157"/>
    </row>
    <row r="59" spans="7:16" ht="15.75" customHeight="1"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7:16" ht="15.75" customHeight="1">
      <c r="G60" s="157"/>
      <c r="H60" s="157"/>
      <c r="I60" s="157"/>
      <c r="J60" s="157"/>
      <c r="K60" s="157"/>
      <c r="L60" s="157"/>
      <c r="M60" s="157"/>
      <c r="N60" s="157"/>
      <c r="O60" s="157"/>
      <c r="P60" s="157"/>
    </row>
    <row r="61" spans="7:16" ht="15.75" customHeight="1">
      <c r="G61" s="157"/>
      <c r="H61" s="157"/>
      <c r="I61" s="157"/>
      <c r="J61" s="157"/>
      <c r="K61" s="157"/>
      <c r="L61" s="157"/>
      <c r="M61" s="157"/>
      <c r="N61" s="157"/>
      <c r="O61" s="157"/>
      <c r="P61" s="157"/>
    </row>
    <row r="62" spans="7:16" ht="15.75" customHeight="1">
      <c r="G62" s="157"/>
      <c r="H62" s="157"/>
      <c r="I62" s="157"/>
      <c r="J62" s="157"/>
      <c r="K62" s="157"/>
      <c r="L62" s="157"/>
      <c r="M62" s="157"/>
      <c r="N62" s="157"/>
      <c r="O62" s="157"/>
      <c r="P62" s="157"/>
    </row>
    <row r="63" spans="7:16" ht="15.75" customHeight="1">
      <c r="G63" s="157"/>
      <c r="H63" s="157"/>
      <c r="I63" s="157"/>
      <c r="J63" s="157"/>
      <c r="K63" s="157"/>
      <c r="L63" s="157"/>
      <c r="M63" s="157"/>
      <c r="N63" s="157"/>
      <c r="O63" s="157"/>
      <c r="P63" s="157"/>
    </row>
    <row r="64" spans="7:16" ht="15.75" customHeight="1">
      <c r="G64" s="157"/>
      <c r="H64" s="157"/>
      <c r="I64" s="157"/>
      <c r="J64" s="157"/>
      <c r="K64" s="157"/>
      <c r="L64" s="157"/>
      <c r="M64" s="157"/>
      <c r="N64" s="157"/>
      <c r="O64" s="157"/>
      <c r="P64" s="157"/>
    </row>
    <row r="65" spans="7:16" ht="15.75" customHeight="1">
      <c r="G65" s="157"/>
      <c r="H65" s="157"/>
      <c r="I65" s="157"/>
      <c r="J65" s="157"/>
      <c r="K65" s="157"/>
      <c r="L65" s="157"/>
      <c r="M65" s="157"/>
      <c r="N65" s="157"/>
      <c r="O65" s="157"/>
      <c r="P65" s="157"/>
    </row>
    <row r="66" spans="7:16" ht="15.75" customHeight="1">
      <c r="G66" s="157"/>
      <c r="H66" s="157"/>
      <c r="I66" s="157"/>
      <c r="J66" s="157"/>
      <c r="K66" s="157"/>
      <c r="L66" s="157"/>
      <c r="M66" s="157"/>
      <c r="N66" s="157"/>
      <c r="O66" s="157"/>
      <c r="P66" s="157"/>
    </row>
    <row r="67" spans="7:16" ht="15.75" customHeight="1">
      <c r="G67" s="157"/>
      <c r="H67" s="157"/>
      <c r="I67" s="157"/>
      <c r="J67" s="157"/>
      <c r="K67" s="157"/>
      <c r="L67" s="157"/>
      <c r="M67" s="157"/>
      <c r="N67" s="157"/>
      <c r="O67" s="157"/>
      <c r="P67" s="157"/>
    </row>
    <row r="68" spans="7:16" ht="15.75" customHeight="1">
      <c r="G68" s="157"/>
      <c r="H68" s="157"/>
      <c r="I68" s="157"/>
      <c r="J68" s="157"/>
      <c r="K68" s="157"/>
      <c r="L68" s="157"/>
      <c r="M68" s="157"/>
      <c r="N68" s="157"/>
      <c r="O68" s="157"/>
      <c r="P68" s="157"/>
    </row>
    <row r="69" spans="7:16" ht="15.75" customHeight="1">
      <c r="G69" s="157"/>
      <c r="H69" s="157"/>
      <c r="I69" s="157"/>
      <c r="J69" s="157"/>
      <c r="K69" s="157"/>
      <c r="L69" s="157"/>
      <c r="M69" s="157"/>
      <c r="N69" s="157"/>
      <c r="O69" s="157"/>
      <c r="P69" s="157"/>
    </row>
    <row r="70" spans="7:16" ht="15.75" customHeight="1">
      <c r="G70" s="157"/>
      <c r="H70" s="157"/>
      <c r="I70" s="157"/>
      <c r="J70" s="157"/>
      <c r="K70" s="157"/>
      <c r="L70" s="157"/>
      <c r="M70" s="157"/>
      <c r="N70" s="157"/>
      <c r="O70" s="157"/>
      <c r="P70" s="157"/>
    </row>
    <row r="71" spans="7:16" ht="15.75" customHeight="1">
      <c r="G71" s="157"/>
      <c r="H71" s="157"/>
      <c r="I71" s="157"/>
      <c r="J71" s="157"/>
      <c r="K71" s="157"/>
      <c r="L71" s="157"/>
      <c r="M71" s="157"/>
      <c r="N71" s="157"/>
      <c r="O71" s="157"/>
      <c r="P71" s="157"/>
    </row>
    <row r="72" spans="7:16" ht="15.75" customHeight="1">
      <c r="G72" s="157"/>
      <c r="H72" s="157"/>
      <c r="I72" s="157"/>
      <c r="J72" s="157"/>
      <c r="K72" s="157"/>
      <c r="L72" s="157"/>
      <c r="M72" s="157"/>
      <c r="N72" s="157"/>
      <c r="O72" s="157"/>
      <c r="P72" s="157"/>
    </row>
    <row r="73" spans="7:16" ht="15.75" customHeight="1">
      <c r="G73" s="157"/>
      <c r="H73" s="157"/>
      <c r="I73" s="157"/>
      <c r="J73" s="157"/>
      <c r="K73" s="157"/>
      <c r="L73" s="157"/>
      <c r="M73" s="157"/>
      <c r="N73" s="157"/>
      <c r="O73" s="157"/>
      <c r="P73" s="157"/>
    </row>
    <row r="74" spans="7:16" ht="15.75" customHeight="1">
      <c r="G74" s="157"/>
      <c r="H74" s="157"/>
      <c r="I74" s="157"/>
      <c r="J74" s="157"/>
      <c r="K74" s="157"/>
      <c r="L74" s="157"/>
      <c r="M74" s="157"/>
      <c r="N74" s="157"/>
      <c r="O74" s="157"/>
      <c r="P74" s="157"/>
    </row>
    <row r="75" spans="7:16" ht="15.75" customHeight="1">
      <c r="G75" s="157"/>
      <c r="H75" s="157"/>
      <c r="I75" s="157"/>
      <c r="J75" s="157"/>
      <c r="K75" s="157"/>
      <c r="L75" s="157"/>
      <c r="M75" s="157"/>
      <c r="N75" s="157"/>
      <c r="O75" s="157"/>
      <c r="P75" s="157"/>
    </row>
    <row r="76" spans="7:16" ht="15.75" customHeight="1"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7:16" ht="15.75" customHeight="1"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7:16" ht="15.75" customHeight="1"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7:16" ht="15.75" customHeight="1">
      <c r="G79" s="157"/>
      <c r="H79" s="157"/>
      <c r="I79" s="157"/>
      <c r="J79" s="157"/>
      <c r="K79" s="157"/>
      <c r="L79" s="157"/>
      <c r="M79" s="157"/>
      <c r="N79" s="157"/>
      <c r="O79" s="157"/>
      <c r="P79" s="157"/>
    </row>
    <row r="80" spans="7:16" ht="15.75" customHeight="1">
      <c r="G80" s="157"/>
      <c r="H80" s="157"/>
      <c r="I80" s="157"/>
      <c r="J80" s="157"/>
      <c r="K80" s="157"/>
      <c r="L80" s="157"/>
      <c r="M80" s="157"/>
      <c r="N80" s="157"/>
      <c r="O80" s="157"/>
      <c r="P80" s="157"/>
    </row>
    <row r="81" spans="7:16" ht="15.75" customHeight="1">
      <c r="G81" s="157"/>
      <c r="H81" s="157"/>
      <c r="I81" s="157"/>
      <c r="J81" s="157"/>
      <c r="K81" s="157"/>
      <c r="L81" s="157"/>
      <c r="M81" s="157"/>
      <c r="N81" s="157"/>
      <c r="O81" s="157"/>
      <c r="P81" s="157"/>
    </row>
    <row r="82" spans="7:16" ht="15.75" customHeight="1">
      <c r="G82" s="157"/>
      <c r="H82" s="157"/>
      <c r="I82" s="157"/>
      <c r="J82" s="157"/>
      <c r="K82" s="157"/>
      <c r="L82" s="157"/>
      <c r="M82" s="157"/>
      <c r="N82" s="157"/>
      <c r="O82" s="157"/>
      <c r="P82" s="157"/>
    </row>
    <row r="83" spans="7:16" ht="15.75" customHeight="1">
      <c r="G83" s="157"/>
      <c r="H83" s="157"/>
      <c r="I83" s="157"/>
      <c r="J83" s="157"/>
      <c r="K83" s="157"/>
      <c r="L83" s="157"/>
      <c r="M83" s="157"/>
      <c r="N83" s="157"/>
      <c r="O83" s="157"/>
      <c r="P83" s="157"/>
    </row>
    <row r="84" spans="7:16" ht="15.75" customHeight="1">
      <c r="G84" s="157"/>
      <c r="H84" s="157"/>
      <c r="I84" s="157"/>
      <c r="J84" s="157"/>
      <c r="K84" s="157"/>
      <c r="L84" s="157"/>
      <c r="M84" s="157"/>
      <c r="N84" s="157"/>
      <c r="O84" s="157"/>
      <c r="P84" s="157"/>
    </row>
    <row r="85" spans="7:16" ht="15.75" customHeight="1">
      <c r="G85" s="157"/>
      <c r="H85" s="157"/>
      <c r="I85" s="157"/>
      <c r="J85" s="157"/>
      <c r="K85" s="157"/>
      <c r="L85" s="157"/>
      <c r="M85" s="157"/>
      <c r="N85" s="157"/>
      <c r="O85" s="157"/>
      <c r="P85" s="157"/>
    </row>
    <row r="86" spans="7:16" ht="15.75" customHeight="1">
      <c r="G86" s="157"/>
      <c r="H86" s="157"/>
      <c r="I86" s="157"/>
      <c r="J86" s="157"/>
      <c r="K86" s="157"/>
      <c r="L86" s="157"/>
      <c r="M86" s="157"/>
      <c r="N86" s="157"/>
      <c r="O86" s="157"/>
      <c r="P86" s="157"/>
    </row>
    <row r="87" spans="7:16" ht="15.75" customHeight="1">
      <c r="G87" s="157"/>
      <c r="H87" s="157"/>
      <c r="I87" s="157"/>
      <c r="J87" s="157"/>
      <c r="K87" s="157"/>
      <c r="L87" s="157"/>
      <c r="M87" s="157"/>
      <c r="N87" s="157"/>
      <c r="O87" s="157"/>
      <c r="P87" s="157"/>
    </row>
    <row r="88" spans="7:16" ht="15.75" customHeight="1">
      <c r="G88" s="157"/>
      <c r="H88" s="157"/>
      <c r="I88" s="157"/>
      <c r="J88" s="157"/>
      <c r="K88" s="157"/>
      <c r="L88" s="157"/>
      <c r="M88" s="157"/>
      <c r="N88" s="157"/>
      <c r="O88" s="157"/>
      <c r="P88" s="157"/>
    </row>
    <row r="89" spans="7:16" ht="15.75" customHeight="1">
      <c r="G89" s="157"/>
      <c r="H89" s="157"/>
      <c r="I89" s="157"/>
      <c r="J89" s="157"/>
      <c r="K89" s="157"/>
      <c r="L89" s="157"/>
      <c r="M89" s="157"/>
      <c r="N89" s="157"/>
      <c r="O89" s="157"/>
      <c r="P89" s="157"/>
    </row>
    <row r="90" spans="7:16" ht="15.75" customHeight="1">
      <c r="G90" s="157"/>
      <c r="H90" s="157"/>
      <c r="I90" s="157"/>
      <c r="J90" s="157"/>
      <c r="K90" s="157"/>
      <c r="L90" s="157"/>
      <c r="M90" s="157"/>
      <c r="N90" s="157"/>
      <c r="O90" s="157"/>
      <c r="P90" s="157"/>
    </row>
    <row r="91" spans="7:16" ht="15.75" customHeight="1">
      <c r="G91" s="157"/>
      <c r="H91" s="157"/>
      <c r="I91" s="157"/>
      <c r="J91" s="157"/>
      <c r="K91" s="157"/>
      <c r="L91" s="157"/>
      <c r="M91" s="157"/>
      <c r="N91" s="157"/>
      <c r="O91" s="157"/>
      <c r="P91" s="157"/>
    </row>
    <row r="92" spans="7:16" ht="15.75" customHeight="1">
      <c r="G92" s="157"/>
      <c r="H92" s="157"/>
      <c r="I92" s="157"/>
      <c r="J92" s="157"/>
      <c r="K92" s="157"/>
      <c r="L92" s="157"/>
      <c r="M92" s="157"/>
      <c r="N92" s="157"/>
      <c r="O92" s="157"/>
      <c r="P92" s="157"/>
    </row>
    <row r="93" spans="7:16" ht="15.75" customHeight="1">
      <c r="G93" s="157"/>
      <c r="H93" s="157"/>
      <c r="I93" s="157"/>
      <c r="J93" s="157"/>
      <c r="K93" s="157"/>
      <c r="L93" s="157"/>
      <c r="M93" s="157"/>
      <c r="N93" s="157"/>
      <c r="O93" s="157"/>
      <c r="P93" s="157"/>
    </row>
    <row r="94" spans="7:16" ht="15.75" customHeight="1">
      <c r="G94" s="157"/>
      <c r="H94" s="157"/>
      <c r="I94" s="157"/>
      <c r="J94" s="157"/>
      <c r="K94" s="157"/>
      <c r="L94" s="157"/>
      <c r="M94" s="157"/>
      <c r="N94" s="157"/>
      <c r="O94" s="157"/>
      <c r="P94" s="157"/>
    </row>
    <row r="95" spans="7:16" ht="15.75" customHeight="1">
      <c r="G95" s="157"/>
      <c r="H95" s="157"/>
      <c r="I95" s="157"/>
      <c r="J95" s="157"/>
      <c r="K95" s="157"/>
      <c r="L95" s="157"/>
      <c r="M95" s="157"/>
      <c r="N95" s="157"/>
      <c r="O95" s="157"/>
      <c r="P95" s="157"/>
    </row>
    <row r="96" spans="7:16" ht="15.75" customHeight="1">
      <c r="G96" s="157"/>
      <c r="H96" s="157"/>
      <c r="I96" s="157"/>
      <c r="J96" s="157"/>
      <c r="K96" s="157"/>
      <c r="L96" s="157"/>
      <c r="M96" s="157"/>
      <c r="N96" s="157"/>
      <c r="O96" s="157"/>
      <c r="P96" s="157"/>
    </row>
    <row r="97" spans="7:16" ht="15.75" customHeight="1">
      <c r="G97" s="157"/>
      <c r="H97" s="157"/>
      <c r="I97" s="157"/>
      <c r="J97" s="157"/>
      <c r="K97" s="157"/>
      <c r="L97" s="157"/>
      <c r="M97" s="157"/>
      <c r="N97" s="157"/>
      <c r="O97" s="157"/>
      <c r="P97" s="157"/>
    </row>
    <row r="98" spans="7:16" ht="15.75" customHeight="1">
      <c r="G98" s="157"/>
      <c r="H98" s="157"/>
      <c r="I98" s="157"/>
      <c r="J98" s="157"/>
      <c r="K98" s="157"/>
      <c r="L98" s="157"/>
      <c r="M98" s="157"/>
      <c r="N98" s="157"/>
      <c r="O98" s="157"/>
      <c r="P98" s="157"/>
    </row>
    <row r="99" spans="7:16" ht="15.75" customHeight="1">
      <c r="G99" s="157"/>
      <c r="H99" s="157"/>
      <c r="I99" s="157"/>
      <c r="J99" s="157"/>
      <c r="K99" s="157"/>
      <c r="L99" s="157"/>
      <c r="M99" s="157"/>
      <c r="N99" s="157"/>
      <c r="O99" s="157"/>
      <c r="P99" s="157"/>
    </row>
    <row r="100" spans="7:16" ht="15.75" customHeight="1"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</row>
    <row r="101" spans="7:16" ht="15.75" customHeight="1"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</row>
    <row r="102" spans="7:16" ht="15.75" customHeight="1"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</row>
    <row r="103" spans="7:16" ht="15.75" customHeight="1"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</row>
    <row r="104" spans="7:16" ht="15.75" customHeight="1"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</row>
    <row r="105" spans="7:16" ht="15.75" customHeight="1"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</row>
    <row r="106" spans="7:16" ht="15.75" customHeight="1"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</row>
    <row r="107" spans="7:16" ht="15.75" customHeight="1"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</row>
    <row r="108" spans="7:16" ht="15.75" customHeight="1"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</row>
    <row r="109" spans="7:16" ht="15.75" customHeight="1"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</row>
    <row r="110" spans="7:16" ht="15.75" customHeight="1"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</row>
    <row r="111" spans="7:16" ht="15.75" customHeight="1"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</row>
    <row r="112" spans="7:16" ht="15.75" customHeight="1"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</row>
    <row r="113" spans="7:16" ht="15.75" customHeight="1"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</row>
    <row r="114" spans="7:16" ht="15.75" customHeight="1"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</row>
    <row r="115" spans="7:16" ht="15.75" customHeight="1"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</row>
    <row r="116" spans="7:16" ht="15.75" customHeight="1"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</row>
    <row r="117" spans="7:16" ht="15.75" customHeight="1"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</row>
    <row r="118" spans="7:16" ht="15.75" customHeight="1"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</row>
    <row r="119" spans="7:16" ht="15.75" customHeight="1"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</row>
    <row r="120" spans="7:16" ht="15.75" customHeight="1"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</row>
    <row r="121" spans="7:16" ht="15.75" customHeight="1"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</row>
    <row r="122" spans="7:16" ht="15.75" customHeight="1"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7:16" ht="15.75" customHeight="1"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</row>
    <row r="124" spans="7:16" ht="15.75" customHeight="1"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</row>
    <row r="125" spans="7:16" ht="15.75" customHeight="1"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</row>
    <row r="126" spans="7:16" ht="15.75" customHeight="1"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</row>
    <row r="127" spans="7:16" ht="15.75" customHeight="1"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</row>
    <row r="128" spans="7:16" ht="15.75" customHeight="1"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</row>
    <row r="129" spans="7:16" ht="15.75" customHeight="1"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</row>
    <row r="130" spans="7:16" ht="15.75" customHeight="1"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</row>
    <row r="131" spans="7:16" ht="15.75" customHeight="1"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</row>
    <row r="132" spans="7:16" ht="15.75" customHeight="1"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</row>
    <row r="133" spans="7:16" ht="15.75" customHeight="1"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</row>
    <row r="134" spans="7:16" ht="15.75" customHeight="1"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</row>
    <row r="135" spans="7:16" ht="15.75" customHeight="1"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</row>
    <row r="136" spans="7:16" ht="15.75" customHeight="1"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</row>
    <row r="137" spans="7:16" ht="15.75" customHeight="1"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</row>
    <row r="138" spans="7:16" ht="15.75" customHeight="1"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</row>
    <row r="139" spans="7:16" ht="15.75" customHeight="1"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</row>
    <row r="140" spans="7:16" ht="15.75" customHeight="1"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</row>
    <row r="141" spans="7:16" ht="15.75" customHeight="1"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</row>
    <row r="142" spans="7:16" ht="15.75" customHeight="1"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</row>
    <row r="143" spans="7:16" ht="15.75" customHeight="1"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</row>
    <row r="144" spans="7:16" ht="15.75" customHeight="1"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</row>
    <row r="145" spans="7:16" ht="15.75" customHeight="1"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</row>
    <row r="146" spans="7:16" ht="15.75" customHeight="1"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</row>
    <row r="147" spans="7:16" ht="15.75" customHeight="1"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</row>
    <row r="148" spans="7:16" ht="15.75" customHeight="1"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</row>
    <row r="149" spans="7:16" ht="15.75" customHeight="1"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</row>
    <row r="150" spans="7:16" ht="15.75" customHeight="1"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</row>
    <row r="151" spans="7:16" ht="15.75" customHeight="1"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</row>
    <row r="152" spans="7:16" ht="15.75" customHeight="1"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</row>
    <row r="153" spans="7:16" ht="15.75" customHeight="1"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</row>
    <row r="154" spans="7:16" ht="15.75" customHeight="1"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</row>
    <row r="155" spans="7:16" ht="15.75" customHeight="1"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</row>
    <row r="156" spans="7:16" ht="15.75" customHeight="1"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</row>
    <row r="157" spans="7:16" ht="15.75" customHeight="1"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</row>
    <row r="158" spans="7:16" ht="15.75" customHeight="1"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</row>
    <row r="159" spans="7:16" ht="15.75" customHeight="1"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</row>
    <row r="160" spans="7:16" ht="15.75" customHeight="1"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</row>
    <row r="161" spans="7:16" ht="15.75" customHeight="1"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</row>
    <row r="162" spans="7:16" ht="15.75" customHeight="1"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</row>
    <row r="163" spans="7:16" ht="15.75" customHeight="1"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</row>
    <row r="164" spans="7:16" ht="15.75" customHeight="1"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</row>
    <row r="165" spans="7:16" ht="15.75" customHeight="1"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7:16" ht="15.75" customHeight="1"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</row>
    <row r="167" spans="7:16" ht="15.75" customHeight="1"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</row>
    <row r="168" spans="7:16" ht="15.75" customHeight="1"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</row>
    <row r="169" spans="7:16" ht="15.75" customHeight="1"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</row>
    <row r="170" spans="7:16" ht="15.75" customHeight="1"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</row>
    <row r="171" spans="7:16" ht="15.75" customHeight="1"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</row>
    <row r="172" spans="7:16" ht="15.75" customHeight="1"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</row>
    <row r="173" spans="7:16" ht="15.75" customHeight="1"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</row>
    <row r="174" spans="7:16" ht="15.75" customHeight="1"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</row>
    <row r="175" spans="7:16" ht="15.75" customHeight="1"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</row>
    <row r="176" spans="7:16" ht="15.75" customHeight="1"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</row>
    <row r="177" spans="7:16" ht="15.75" customHeight="1"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</row>
    <row r="178" spans="7:16" ht="15.75" customHeight="1"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</row>
    <row r="179" spans="7:16" ht="15.75" customHeight="1"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</row>
    <row r="180" spans="7:16" ht="15.75" customHeight="1"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</row>
    <row r="181" spans="7:16" ht="15.75" customHeight="1"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</row>
    <row r="182" spans="7:16" ht="15.75" customHeight="1"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</row>
    <row r="183" spans="7:16" ht="15.75" customHeight="1"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</row>
    <row r="184" spans="7:16" ht="15.75" customHeight="1"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</row>
    <row r="185" spans="7:16" ht="15.75" customHeight="1"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</row>
    <row r="186" spans="7:16" ht="15.75" customHeight="1"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</row>
    <row r="187" spans="7:16" ht="15.75" customHeight="1"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</row>
    <row r="188" spans="7:16" ht="15.75" customHeight="1"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</row>
    <row r="189" spans="7:16" ht="15.75" customHeight="1"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</row>
    <row r="190" spans="7:16" ht="15.75" customHeight="1"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</row>
    <row r="191" spans="7:16" ht="15.75" customHeight="1"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</row>
    <row r="192" spans="7:16" ht="15.75" customHeight="1"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</row>
    <row r="193" spans="7:16" ht="15.75" customHeight="1"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</row>
    <row r="194" spans="7:16" ht="15.75" customHeight="1"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</row>
    <row r="195" spans="7:16" ht="15.75" customHeight="1"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</row>
    <row r="196" spans="7:16" ht="15.75" customHeight="1"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</row>
    <row r="197" spans="7:16" ht="15.75" customHeight="1"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</row>
    <row r="198" spans="7:16" ht="15.75" customHeight="1"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7:16" ht="15.75" customHeight="1"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</row>
    <row r="200" spans="7:16" ht="15.75" customHeight="1"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</row>
    <row r="201" spans="7:16" ht="15.75" customHeight="1"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</row>
  </sheetData>
  <sheetProtection password="CE90" sheet="1"/>
  <mergeCells count="3">
    <mergeCell ref="B45:J45"/>
    <mergeCell ref="K43:M43"/>
    <mergeCell ref="B2:J2"/>
  </mergeCells>
  <hyperlinks>
    <hyperlink ref="A2" location="INDEX!A1" display="◄"/>
    <hyperlink ref="E16" location="'(φ; λ) ↔ (N; E)'!B45" display="falsa origine*"/>
  </hyperlink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A1">
      <selection activeCell="F7" sqref="F7"/>
    </sheetView>
  </sheetViews>
  <sheetFormatPr defaultColWidth="9.140625" defaultRowHeight="15.75" customHeight="1"/>
  <cols>
    <col min="1" max="2" width="9.140625" style="40" customWidth="1"/>
    <col min="3" max="3" width="15.7109375" style="40" customWidth="1"/>
    <col min="4" max="5" width="9.140625" style="40" customWidth="1"/>
    <col min="6" max="6" width="15.7109375" style="40" customWidth="1"/>
    <col min="7" max="8" width="9.140625" style="40" customWidth="1"/>
    <col min="9" max="9" width="15.7109375" style="40" customWidth="1"/>
    <col min="10" max="10" width="9.140625" style="40" customWidth="1"/>
    <col min="11" max="13" width="15.7109375" style="40" customWidth="1"/>
    <col min="14" max="14" width="10.7109375" style="40" customWidth="1"/>
    <col min="15" max="16" width="15.7109375" style="40" customWidth="1"/>
    <col min="17" max="16384" width="9.140625" style="40" customWidth="1"/>
  </cols>
  <sheetData>
    <row r="2" spans="1:5" ht="15.75" customHeight="1">
      <c r="A2" s="127" t="s">
        <v>294</v>
      </c>
      <c r="B2" s="265" t="s">
        <v>344</v>
      </c>
      <c r="C2" s="265"/>
      <c r="D2" s="265"/>
      <c r="E2" s="265"/>
    </row>
    <row r="3" spans="1:5" ht="15.75" customHeight="1">
      <c r="A3" s="127"/>
      <c r="B3" s="71"/>
      <c r="C3" s="71"/>
      <c r="D3" s="71"/>
      <c r="E3" s="71"/>
    </row>
    <row r="4" spans="2:15" ht="15.75" customHeight="1">
      <c r="B4" s="75" t="s">
        <v>365</v>
      </c>
      <c r="C4" s="120" t="s">
        <v>58</v>
      </c>
      <c r="E4" s="75" t="s">
        <v>365</v>
      </c>
      <c r="F4" s="120" t="s">
        <v>59</v>
      </c>
      <c r="K4" s="266" t="s">
        <v>385</v>
      </c>
      <c r="L4" s="266"/>
      <c r="M4" s="266"/>
      <c r="N4" s="266"/>
      <c r="O4" s="266"/>
    </row>
    <row r="5" spans="2:20" ht="15.75" customHeight="1">
      <c r="B5" s="114"/>
      <c r="C5" s="120" t="s">
        <v>346</v>
      </c>
      <c r="E5" s="114"/>
      <c r="F5" s="120" t="s">
        <v>347</v>
      </c>
      <c r="K5" s="177" t="s">
        <v>364</v>
      </c>
      <c r="L5" s="177" t="s">
        <v>1</v>
      </c>
      <c r="M5" s="177" t="s">
        <v>345</v>
      </c>
      <c r="N5" s="177" t="s">
        <v>383</v>
      </c>
      <c r="O5" s="177" t="s">
        <v>384</v>
      </c>
      <c r="S5" s="39"/>
      <c r="T5" s="39"/>
    </row>
    <row r="6" spans="2:20" ht="15.75" customHeight="1">
      <c r="B6" s="75" t="s">
        <v>350</v>
      </c>
      <c r="C6" s="123">
        <v>6378388</v>
      </c>
      <c r="D6" s="114" t="s">
        <v>2</v>
      </c>
      <c r="E6" s="75" t="s">
        <v>352</v>
      </c>
      <c r="F6" s="123">
        <v>6378137</v>
      </c>
      <c r="G6" s="114" t="s">
        <v>2</v>
      </c>
      <c r="H6" s="75" t="s">
        <v>357</v>
      </c>
      <c r="I6" s="65">
        <f>C6*(1-C7)</f>
        <v>6356911.946127968</v>
      </c>
      <c r="J6" s="114" t="s">
        <v>2</v>
      </c>
      <c r="K6" s="178" t="s">
        <v>373</v>
      </c>
      <c r="L6" s="179">
        <v>6377563.396</v>
      </c>
      <c r="M6" s="180">
        <v>0.003340850641</v>
      </c>
      <c r="N6" s="181">
        <f>L15-L6</f>
        <v>573.6040000002831</v>
      </c>
      <c r="O6" s="182">
        <f>M15-M6</f>
        <v>1.196002374748064E-05</v>
      </c>
      <c r="Q6" s="72"/>
      <c r="R6" s="72"/>
      <c r="S6" s="39"/>
      <c r="T6" s="39"/>
    </row>
    <row r="7" spans="2:20" ht="15.75" customHeight="1">
      <c r="B7" s="75" t="s">
        <v>351</v>
      </c>
      <c r="C7" s="188">
        <v>0.003367003367</v>
      </c>
      <c r="E7" s="75" t="s">
        <v>353</v>
      </c>
      <c r="F7" s="188">
        <v>0.003352810665</v>
      </c>
      <c r="H7" s="75" t="s">
        <v>358</v>
      </c>
      <c r="I7" s="65">
        <f>(C6^2-I6^2)/C6^2</f>
        <v>0.006722670022326506</v>
      </c>
      <c r="K7" s="178" t="s">
        <v>374</v>
      </c>
      <c r="L7" s="179">
        <v>6377397.155</v>
      </c>
      <c r="M7" s="180">
        <v>0.003342773182</v>
      </c>
      <c r="N7" s="181">
        <f>L15-L7</f>
        <v>739.8449999997392</v>
      </c>
      <c r="O7" s="182">
        <f>M15-M7</f>
        <v>1.0037482747480512E-05</v>
      </c>
      <c r="Q7" s="72"/>
      <c r="R7" s="72"/>
      <c r="S7" s="39"/>
      <c r="T7" s="39"/>
    </row>
    <row r="8" spans="2:20" ht="15.75" customHeight="1">
      <c r="B8" s="114"/>
      <c r="E8" s="114"/>
      <c r="H8" s="75"/>
      <c r="J8" s="114"/>
      <c r="K8" s="183" t="s">
        <v>375</v>
      </c>
      <c r="L8" s="184">
        <v>6378249.145</v>
      </c>
      <c r="M8" s="180">
        <v>0.003407561378</v>
      </c>
      <c r="N8" s="181">
        <f>L15-L8</f>
        <v>-112.14499999955297</v>
      </c>
      <c r="O8" s="182">
        <f>M15-M8</f>
        <v>-5.475071325251966E-05</v>
      </c>
      <c r="Q8" s="72"/>
      <c r="R8" s="72"/>
      <c r="S8" s="39"/>
      <c r="T8" s="39"/>
    </row>
    <row r="9" spans="2:20" ht="15.75" customHeight="1">
      <c r="B9" s="75" t="s">
        <v>366</v>
      </c>
      <c r="C9" s="122">
        <v>41.923752777</v>
      </c>
      <c r="D9" s="114" t="s">
        <v>16</v>
      </c>
      <c r="E9" s="75" t="s">
        <v>370</v>
      </c>
      <c r="F9" s="121">
        <f>((-C13*SIN(C9*PI()/180)*COS(C10*PI()/180)-C14*SIN(C9*PI()/180)*SIN(C10*PI()/180)+C15*COS(C9*PI()/180)+I12*(I10*I7*SIN(C9*PI()/180)*COS(C9*PI()/180))/C6)+I13*(I9*C6/I6+I10*I6/C6)*SIN(C9*PI()/180)*COS(C9*PI()/180)/(I9+C11)*I15)/60</f>
        <v>2.7032735192777984</v>
      </c>
      <c r="G9" s="114" t="s">
        <v>328</v>
      </c>
      <c r="H9" s="75" t="s">
        <v>367</v>
      </c>
      <c r="I9" s="65">
        <f>C6*(1-I7)/(1-I7*(SIN(C9*PI()/180))^2)^1.5</f>
        <v>6364135.653546751</v>
      </c>
      <c r="J9" s="114" t="s">
        <v>2</v>
      </c>
      <c r="K9" s="178" t="s">
        <v>376</v>
      </c>
      <c r="L9" s="184">
        <v>6378200</v>
      </c>
      <c r="M9" s="180">
        <v>0.003352329869</v>
      </c>
      <c r="N9" s="181">
        <f>L15-L9</f>
        <v>-63</v>
      </c>
      <c r="O9" s="182">
        <f>M15-M9</f>
        <v>4.807957474806807E-07</v>
      </c>
      <c r="Q9" s="72"/>
      <c r="R9" s="72"/>
      <c r="S9" s="39"/>
      <c r="T9" s="39"/>
    </row>
    <row r="10" spans="2:15" ht="15.75" customHeight="1">
      <c r="B10" s="75" t="s">
        <v>348</v>
      </c>
      <c r="C10" s="122">
        <v>12.452333333</v>
      </c>
      <c r="D10" s="114" t="s">
        <v>16</v>
      </c>
      <c r="E10" s="75" t="s">
        <v>371</v>
      </c>
      <c r="F10" s="121">
        <f>(-C13*SIN(C10*PI()/180)+C14*COS(C10*PI()/180))/((I10+C11)*COS(C9*PI()/180)*I15)</f>
        <v>-0.7419753201786831</v>
      </c>
      <c r="G10" s="114" t="s">
        <v>328</v>
      </c>
      <c r="H10" s="75" t="s">
        <v>356</v>
      </c>
      <c r="I10" s="65">
        <f>C6/(1-I7*(SIN(C9*PI()/180))^2)^0.5</f>
        <v>6387980.635073218</v>
      </c>
      <c r="J10" s="114" t="s">
        <v>2</v>
      </c>
      <c r="K10" s="178" t="s">
        <v>377</v>
      </c>
      <c r="L10" s="100">
        <v>6378388</v>
      </c>
      <c r="M10" s="101">
        <f>1/297</f>
        <v>0.003367003367003367</v>
      </c>
      <c r="N10" s="181">
        <f>L15-L10</f>
        <v>-251</v>
      </c>
      <c r="O10" s="182">
        <f>M15-M10</f>
        <v>-1.4192702255886366E-05</v>
      </c>
    </row>
    <row r="11" spans="2:15" ht="15.75" customHeight="1">
      <c r="B11" s="75" t="s">
        <v>349</v>
      </c>
      <c r="C11" s="123">
        <v>0</v>
      </c>
      <c r="D11" s="114" t="s">
        <v>2</v>
      </c>
      <c r="E11" s="75" t="s">
        <v>372</v>
      </c>
      <c r="F11" s="121">
        <f>C13*COS(C9*PI()/180)*COS(C10*PI()/180)+C14*COS(C9*PI()/180)*SIN(C10*PI()/180)+C15*SIN(C9*PI()/180)-I12*C6/I10+I13*I6/C6*I10*(SIN(C9*PI()/180))^2</f>
        <v>-0.002745739911397038</v>
      </c>
      <c r="G11" s="114" t="s">
        <v>2</v>
      </c>
      <c r="H11" s="114"/>
      <c r="K11" s="178" t="s">
        <v>378</v>
      </c>
      <c r="L11" s="184">
        <v>6378245</v>
      </c>
      <c r="M11" s="180">
        <v>0.003352329869</v>
      </c>
      <c r="N11" s="181">
        <f>L15-L11</f>
        <v>-108</v>
      </c>
      <c r="O11" s="182">
        <f>M15-M11</f>
        <v>4.807957474806807E-07</v>
      </c>
    </row>
    <row r="12" spans="5:15" ht="15.75" customHeight="1">
      <c r="E12" s="114"/>
      <c r="H12" s="75" t="s">
        <v>359</v>
      </c>
      <c r="I12" s="67">
        <f>F6-C6</f>
        <v>-251</v>
      </c>
      <c r="J12" s="114" t="s">
        <v>2</v>
      </c>
      <c r="K12" s="178" t="s">
        <v>379</v>
      </c>
      <c r="L12" s="184">
        <v>6378270</v>
      </c>
      <c r="M12" s="101">
        <f>1/297</f>
        <v>0.003367003367003367</v>
      </c>
      <c r="N12" s="181">
        <f>L15-L12</f>
        <v>-133</v>
      </c>
      <c r="O12" s="182">
        <f>M15-M12</f>
        <v>-1.4192702255886366E-05</v>
      </c>
    </row>
    <row r="13" spans="2:15" ht="15.75" customHeight="1">
      <c r="B13" s="75" t="s">
        <v>361</v>
      </c>
      <c r="C13" s="123">
        <v>-255.464</v>
      </c>
      <c r="D13" s="114" t="s">
        <v>2</v>
      </c>
      <c r="E13" s="75" t="s">
        <v>369</v>
      </c>
      <c r="F13" s="133">
        <f>C9+(F9/3600)</f>
        <v>41.924503686310906</v>
      </c>
      <c r="G13" s="114" t="s">
        <v>16</v>
      </c>
      <c r="H13" s="75" t="s">
        <v>360</v>
      </c>
      <c r="I13" s="185">
        <f>F7-C7</f>
        <v>-1.4192702000000341E-05</v>
      </c>
      <c r="K13" s="178" t="s">
        <v>380</v>
      </c>
      <c r="L13" s="100">
        <v>6378135</v>
      </c>
      <c r="M13" s="102">
        <f>1/298.26</f>
        <v>0.003352779454167505</v>
      </c>
      <c r="N13" s="181">
        <f>L15-L13</f>
        <v>2</v>
      </c>
      <c r="O13" s="182">
        <f>M15-M13</f>
        <v>3.121057997549498E-08</v>
      </c>
    </row>
    <row r="14" spans="2:15" ht="15.75" customHeight="1">
      <c r="B14" s="75" t="s">
        <v>362</v>
      </c>
      <c r="C14" s="123">
        <v>-73.921</v>
      </c>
      <c r="D14" s="114" t="s">
        <v>2</v>
      </c>
      <c r="E14" s="75" t="s">
        <v>354</v>
      </c>
      <c r="F14" s="133">
        <f>C10+(F10/3600)</f>
        <v>12.452127228744395</v>
      </c>
      <c r="G14" s="114" t="s">
        <v>16</v>
      </c>
      <c r="H14" s="114"/>
      <c r="K14" s="178" t="s">
        <v>381</v>
      </c>
      <c r="L14" s="100">
        <v>6378137</v>
      </c>
      <c r="M14" s="102">
        <f>1/298.257222101</f>
        <v>0.003352810681182319</v>
      </c>
      <c r="N14" s="181">
        <f>L15-L14</f>
        <v>0</v>
      </c>
      <c r="O14" s="182">
        <f>M15-M14</f>
        <v>-1.6434838299300703E-11</v>
      </c>
    </row>
    <row r="15" spans="2:15" ht="15.75" customHeight="1">
      <c r="B15" s="75" t="s">
        <v>363</v>
      </c>
      <c r="C15" s="123">
        <v>-19.198</v>
      </c>
      <c r="D15" s="114" t="s">
        <v>2</v>
      </c>
      <c r="E15" s="75" t="s">
        <v>355</v>
      </c>
      <c r="F15" s="88">
        <f>C11+F11</f>
        <v>-0.002745739911397038</v>
      </c>
      <c r="G15" s="114" t="s">
        <v>2</v>
      </c>
      <c r="H15" s="75" t="s">
        <v>368</v>
      </c>
      <c r="I15" s="186">
        <f>SIN(0.000277777777*PI()/180)</f>
        <v>4.848136797501585E-06</v>
      </c>
      <c r="J15" s="187"/>
      <c r="K15" s="178" t="s">
        <v>382</v>
      </c>
      <c r="L15" s="100">
        <v>6378137</v>
      </c>
      <c r="M15" s="102">
        <f>1/298.257223563</f>
        <v>0.0033528106647474805</v>
      </c>
      <c r="N15" s="181">
        <f>L15-L15</f>
        <v>0</v>
      </c>
      <c r="O15" s="182">
        <f>M15-M15</f>
        <v>0</v>
      </c>
    </row>
    <row r="16" ht="15.75" customHeight="1">
      <c r="C16" s="114"/>
    </row>
  </sheetData>
  <sheetProtection password="CE90" sheet="1"/>
  <mergeCells count="2">
    <mergeCell ref="B2:E2"/>
    <mergeCell ref="K4:O4"/>
  </mergeCells>
  <hyperlinks>
    <hyperlink ref="A2" location="INDEX!A1" display="◄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</dc:creator>
  <cp:keywords/>
  <dc:description/>
  <cp:lastModifiedBy>Utente</cp:lastModifiedBy>
  <dcterms:created xsi:type="dcterms:W3CDTF">2019-03-23T07:51:21Z</dcterms:created>
  <dcterms:modified xsi:type="dcterms:W3CDTF">2021-08-22T13:56:25Z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