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ELLISSOIDE" sheetId="1" r:id="rId1"/>
    <sheet name="SFERA" sheetId="2" r:id="rId2"/>
    <sheet name="Sfera Locale" sheetId="3" r:id="rId3"/>
  </sheets>
  <definedNames/>
  <calcPr fullCalcOnLoad="1"/>
</workbook>
</file>

<file path=xl/sharedStrings.xml><?xml version="1.0" encoding="utf-8"?>
<sst xmlns="http://schemas.openxmlformats.org/spreadsheetml/2006/main" count="298" uniqueCount="109">
  <si>
    <t>IPOTESI CON ELLISSOIDE</t>
  </si>
  <si>
    <t>a</t>
  </si>
  <si>
    <t>m</t>
  </si>
  <si>
    <r>
      <rPr>
        <sz val="11"/>
        <color indexed="8"/>
        <rFont val="Calibri"/>
        <family val="2"/>
      </rPr>
      <t>e</t>
    </r>
    <r>
      <rPr>
        <vertAlign val="superscript"/>
        <sz val="11"/>
        <color indexed="8"/>
        <rFont val="Calibri"/>
        <family val="2"/>
      </rPr>
      <t>2</t>
    </r>
  </si>
  <si>
    <t>ϕ1</t>
  </si>
  <si>
    <t>°</t>
  </si>
  <si>
    <t>rad</t>
  </si>
  <si>
    <t>ϕ2</t>
  </si>
  <si>
    <t>Δϕ</t>
  </si>
  <si>
    <t>λ1</t>
  </si>
  <si>
    <t>λ2</t>
  </si>
  <si>
    <t>Δλ</t>
  </si>
  <si>
    <t>h1</t>
  </si>
  <si>
    <t>h2</t>
  </si>
  <si>
    <t>N1</t>
  </si>
  <si>
    <t>N2</t>
  </si>
  <si>
    <r>
      <rPr>
        <sz val="11"/>
        <color indexed="8"/>
        <rFont val="Calibri"/>
        <family val="2"/>
      </rPr>
      <t>N=a/[√(1-e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sin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)]</t>
    </r>
  </si>
  <si>
    <r>
      <rPr>
        <sz val="10"/>
        <color indexed="8"/>
        <rFont val="Calibri"/>
        <family val="2"/>
      </rPr>
      <t>R</t>
    </r>
    <r>
      <rPr>
        <sz val="10"/>
        <color indexed="8"/>
        <rFont val="Garamond"/>
        <family val="1"/>
      </rPr>
      <t>ψ</t>
    </r>
    <r>
      <rPr>
        <sz val="10"/>
        <color indexed="8"/>
        <rFont val="Calibri"/>
        <family val="2"/>
      </rPr>
      <t>1</t>
    </r>
  </si>
  <si>
    <r>
      <rPr>
        <sz val="10"/>
        <color indexed="8"/>
        <rFont val="Calibri"/>
        <family val="2"/>
      </rPr>
      <t>R</t>
    </r>
    <r>
      <rPr>
        <sz val="10"/>
        <color indexed="8"/>
        <rFont val="Garamond"/>
        <family val="1"/>
      </rPr>
      <t>ψ2</t>
    </r>
  </si>
  <si>
    <r>
      <rPr>
        <sz val="11"/>
        <color indexed="8"/>
        <rFont val="Calibri"/>
        <family val="2"/>
      </rPr>
      <t>R</t>
    </r>
    <r>
      <rPr>
        <sz val="11"/>
        <color indexed="8"/>
        <rFont val="Garamond"/>
        <family val="1"/>
      </rPr>
      <t>ψ</t>
    </r>
    <r>
      <rPr>
        <sz val="11"/>
        <color indexed="8"/>
        <rFont val="Calibri"/>
        <family val="2"/>
      </rPr>
      <t>=N*cos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*√[1+(1-e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*tan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]</t>
    </r>
  </si>
  <si>
    <r>
      <rPr>
        <sz val="10"/>
        <color indexed="8"/>
        <rFont val="Calibri"/>
        <family val="2"/>
      </rPr>
      <t>R</t>
    </r>
    <r>
      <rPr>
        <sz val="10"/>
        <color indexed="8"/>
        <rFont val="Garamond"/>
        <family val="1"/>
      </rPr>
      <t>ψ</t>
    </r>
    <r>
      <rPr>
        <sz val="10"/>
        <color indexed="8"/>
        <rFont val="Calibri"/>
        <family val="2"/>
      </rPr>
      <t>1</t>
    </r>
    <r>
      <rPr>
        <sz val="10"/>
        <color indexed="8"/>
        <rFont val="Garamond"/>
        <family val="1"/>
      </rPr>
      <t>'</t>
    </r>
  </si>
  <si>
    <r>
      <rPr>
        <sz val="10"/>
        <color indexed="8"/>
        <rFont val="Calibri"/>
        <family val="2"/>
      </rPr>
      <t>R</t>
    </r>
    <r>
      <rPr>
        <sz val="10"/>
        <color indexed="8"/>
        <rFont val="Garamond"/>
        <family val="1"/>
      </rPr>
      <t>ψ2'</t>
    </r>
  </si>
  <si>
    <r>
      <rPr>
        <sz val="11"/>
        <color indexed="8"/>
        <rFont val="Calibri"/>
        <family val="2"/>
      </rPr>
      <t>R</t>
    </r>
    <r>
      <rPr>
        <sz val="11"/>
        <color indexed="8"/>
        <rFont val="Garamond"/>
        <family val="1"/>
      </rPr>
      <t>ψ'</t>
    </r>
    <r>
      <rPr>
        <sz val="11"/>
        <color indexed="8"/>
        <rFont val="Calibri"/>
        <family val="2"/>
      </rPr>
      <t>=7/6R</t>
    </r>
    <r>
      <rPr>
        <sz val="11"/>
        <color indexed="8"/>
        <rFont val="Garamond"/>
        <family val="1"/>
      </rPr>
      <t>ψ</t>
    </r>
  </si>
  <si>
    <t>X1</t>
  </si>
  <si>
    <t>X2</t>
  </si>
  <si>
    <r>
      <rPr>
        <sz val="11"/>
        <color indexed="8"/>
        <rFont val="Calibri"/>
        <family val="2"/>
      </rPr>
      <t>X=(N+h)cos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cosλ</t>
    </r>
  </si>
  <si>
    <t>Y1</t>
  </si>
  <si>
    <t>Y2</t>
  </si>
  <si>
    <r>
      <rPr>
        <sz val="11"/>
        <color indexed="8"/>
        <rFont val="Calibri"/>
        <family val="2"/>
      </rPr>
      <t>Y=(N+h)cos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sinλ</t>
    </r>
  </si>
  <si>
    <t>Z1</t>
  </si>
  <si>
    <t>Z2</t>
  </si>
  <si>
    <r>
      <rPr>
        <sz val="11"/>
        <color indexed="8"/>
        <rFont val="Calibri"/>
        <family val="2"/>
      </rPr>
      <t>Z=[N(1-e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)+h]sin</t>
    </r>
    <r>
      <rPr>
        <sz val="11"/>
        <color indexed="8"/>
        <rFont val="Garamond"/>
        <family val="1"/>
      </rPr>
      <t>φ</t>
    </r>
  </si>
  <si>
    <t>ω</t>
  </si>
  <si>
    <r>
      <rPr>
        <sz val="11"/>
        <color indexed="8"/>
        <rFont val="Calibri"/>
        <family val="2"/>
      </rPr>
      <t>ω=2arcsin√[sin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</t>
    </r>
    <r>
      <rPr>
        <sz val="11"/>
        <color indexed="8"/>
        <rFont val="Garamond"/>
        <family val="1"/>
      </rPr>
      <t>Δφ</t>
    </r>
    <r>
      <rPr>
        <sz val="11"/>
        <color indexed="8"/>
        <rFont val="Calibri"/>
        <family val="2"/>
      </rPr>
      <t>/2)+cos</t>
    </r>
    <r>
      <rPr>
        <sz val="11"/>
        <color indexed="8"/>
        <rFont val="Garamond"/>
        <family val="1"/>
      </rPr>
      <t>φ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cos</t>
    </r>
    <r>
      <rPr>
        <sz val="11"/>
        <color indexed="8"/>
        <rFont val="Garamond"/>
        <family val="1"/>
      </rPr>
      <t>φ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sin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(</t>
    </r>
    <r>
      <rPr>
        <sz val="11"/>
        <color indexed="8"/>
        <rFont val="Garamond"/>
        <family val="1"/>
      </rPr>
      <t>Δλ</t>
    </r>
    <r>
      <rPr>
        <sz val="11"/>
        <color indexed="8"/>
        <rFont val="Calibri"/>
        <family val="2"/>
      </rPr>
      <t>/2)]</t>
    </r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</si>
  <si>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</si>
  <si>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2</t>
    </r>
  </si>
  <si>
    <r>
      <rPr>
        <sz val="11"/>
        <color indexed="8"/>
        <rFont val="Calibri"/>
        <family val="2"/>
      </rPr>
      <t>ORIZ=√(2R</t>
    </r>
    <r>
      <rPr>
        <sz val="11"/>
        <color indexed="8"/>
        <rFont val="Garamond"/>
        <family val="1"/>
      </rPr>
      <t>ψ</t>
    </r>
    <r>
      <rPr>
        <sz val="11"/>
        <color indexed="8"/>
        <rFont val="Calibri"/>
        <family val="2"/>
      </rPr>
      <t>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</si>
  <si>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rifr</t>
    </r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</si>
  <si>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rifr</t>
    </r>
  </si>
  <si>
    <r>
      <rPr>
        <sz val="11"/>
        <color indexed="8"/>
        <rFont val="Calibri"/>
        <family val="2"/>
      </rPr>
      <t>ORIZ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>=√(2R</t>
    </r>
    <r>
      <rPr>
        <sz val="11"/>
        <color indexed="8"/>
        <rFont val="Garamond"/>
        <family val="1"/>
      </rPr>
      <t>ψ'</t>
    </r>
    <r>
      <rPr>
        <sz val="11"/>
        <color indexed="8"/>
        <rFont val="Calibri"/>
        <family val="2"/>
      </rPr>
      <t>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</si>
  <si>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+ ORIZ</t>
    </r>
    <r>
      <rPr>
        <vertAlign val="subscript"/>
        <sz val="11"/>
        <color indexed="8"/>
        <rFont val="Calibri"/>
        <family val="2"/>
      </rPr>
      <t>2</t>
    </r>
  </si>
  <si>
    <r>
      <rPr>
        <sz val="11"/>
        <color indexed="8"/>
        <rFont val="Calibri"/>
        <family val="2"/>
      </rPr>
      <t xml:space="preserve">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Garamond"/>
        <family val="1"/>
      </rPr>
      <t>1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</si>
  <si>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senza rifrazione</t>
  </si>
  <si>
    <r>
      <rPr>
        <sz val="11"/>
        <color indexed="8"/>
        <rFont val="Calibri"/>
        <family val="2"/>
      </rPr>
      <t>ORIZ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 xml:space="preserve"> + ORIZ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rifr</t>
    </r>
  </si>
  <si>
    <r>
      <rPr>
        <sz val="11"/>
        <color indexed="8"/>
        <rFont val="Calibri"/>
        <family val="2"/>
      </rPr>
      <t xml:space="preserve">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</si>
  <si>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con rifrazione</t>
  </si>
  <si>
    <t>punti visibili se</t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</si>
  <si>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-( ORIZ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+ ORIZ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</si>
  <si>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</si>
  <si>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-(ORIZ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 xml:space="preserve"> + ORIZ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</si>
  <si>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ψ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</si>
  <si>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IPOTESI CON SFERA</t>
  </si>
  <si>
    <t>R</t>
  </si>
  <si>
    <r>
      <rPr>
        <sz val="11"/>
        <color indexed="8"/>
        <rFont val="Calibri"/>
        <family val="2"/>
      </rPr>
      <t>R</t>
    </r>
    <r>
      <rPr>
        <sz val="11"/>
        <color indexed="8"/>
        <rFont val="Garamond"/>
        <family val="1"/>
      </rPr>
      <t>'</t>
    </r>
  </si>
  <si>
    <r>
      <rPr>
        <sz val="11"/>
        <color indexed="8"/>
        <rFont val="Calibri"/>
        <family val="2"/>
      </rPr>
      <t>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=7/6R</t>
    </r>
  </si>
  <si>
    <r>
      <rPr>
        <sz val="11"/>
        <color indexed="8"/>
        <rFont val="Calibri"/>
        <family val="2"/>
      </rPr>
      <t>X=(R+h)cos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cosλ</t>
    </r>
  </si>
  <si>
    <r>
      <rPr>
        <sz val="11"/>
        <color indexed="8"/>
        <rFont val="Calibri"/>
        <family val="2"/>
      </rPr>
      <t>Y=(R+h)cos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sinλ</t>
    </r>
  </si>
  <si>
    <r>
      <rPr>
        <sz val="11"/>
        <color indexed="8"/>
        <rFont val="Calibri"/>
        <family val="2"/>
      </rPr>
      <t>Z=(R+h)sin</t>
    </r>
    <r>
      <rPr>
        <sz val="11"/>
        <color indexed="8"/>
        <rFont val="Garamond"/>
        <family val="1"/>
      </rPr>
      <t>φ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</si>
  <si>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</si>
  <si>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=√(</t>
    </r>
    <r>
      <rPr>
        <sz val="11"/>
        <color indexed="8"/>
        <rFont val="Garamond"/>
        <family val="1"/>
      </rPr>
      <t>ΔX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+ΔY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+ΔZ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</si>
  <si>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0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</si>
  <si>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=(R+h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)sinω</t>
    </r>
  </si>
  <si>
    <r>
      <rPr>
        <sz val="11"/>
        <color indexed="8"/>
        <rFont val="Calibri"/>
        <family val="2"/>
      </rPr>
      <t>90°-Z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</si>
  <si>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Calibri"/>
        <family val="2"/>
      </rPr>
      <t>90°-Z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=[(R+h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)sinω]/d</t>
    </r>
    <r>
      <rPr>
        <vertAlign val="subscript"/>
        <sz val="11"/>
        <color indexed="8"/>
        <rFont val="Calibri"/>
        <family val="2"/>
      </rPr>
      <t>i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</si>
  <si>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t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</si>
  <si>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>=d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cos(90°-Z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) = Rω</t>
    </r>
    <r>
      <rPr>
        <vertAlign val="superscript"/>
        <sz val="11"/>
        <color indexed="8"/>
        <rFont val="Calibri"/>
        <family val="2"/>
      </rPr>
      <t>rad</t>
    </r>
  </si>
  <si>
    <r>
      <rPr>
        <sz val="11"/>
        <color indexed="8"/>
        <rFont val="Calibri"/>
        <family val="2"/>
      </rPr>
      <t>ORIZ=√(2Rh+h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</si>
  <si>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ORIZ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>=√(2R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</si>
  <si>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 xml:space="preserve"> √(2Rh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</si>
  <si>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 xml:space="preserve"> √(2R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</si>
  <si>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</si>
  <si>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sz val="11"/>
        <color indexed="8"/>
        <rFont val="Garamond"/>
        <family val="1"/>
      </rPr>
      <t>'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</si>
  <si>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PER VERIFICA</t>
  </si>
  <si>
    <r>
      <rPr>
        <sz val="11"/>
        <color indexed="8"/>
        <rFont val="Garamond"/>
        <family val="1"/>
      </rPr>
      <t>Δ</t>
    </r>
    <r>
      <rPr>
        <sz val="11"/>
        <color indexed="8"/>
        <rFont val="Calibri"/>
        <family val="2"/>
      </rPr>
      <t>X</t>
    </r>
  </si>
  <si>
    <r>
      <rPr>
        <sz val="11"/>
        <color indexed="8"/>
        <rFont val="Calibri"/>
        <family val="2"/>
      </rPr>
      <t>ΔX=cosϕ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cosλ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-cosϕ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cosλ1</t>
    </r>
  </si>
  <si>
    <t>ΔY</t>
  </si>
  <si>
    <r>
      <rPr>
        <sz val="11"/>
        <color indexed="8"/>
        <rFont val="Calibri"/>
        <family val="2"/>
      </rPr>
      <t>ΔY=cosϕ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sinλ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-cosϕ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sinλ1</t>
    </r>
  </si>
  <si>
    <t>ΔZ</t>
  </si>
  <si>
    <r>
      <rPr>
        <sz val="11"/>
        <color indexed="8"/>
        <rFont val="Calibri"/>
        <family val="2"/>
      </rPr>
      <t>ΔZ=sinϕ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-sinϕ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</si>
  <si>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Calibri"/>
        <family val="2"/>
      </rPr>
      <t>C=√(</t>
    </r>
    <r>
      <rPr>
        <sz val="11"/>
        <color indexed="8"/>
        <rFont val="Garamond"/>
        <family val="1"/>
      </rPr>
      <t>ΔX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+ΔY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+ΔZ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)</t>
    </r>
  </si>
  <si>
    <t>ω=2arcsin(C/2)</t>
  </si>
  <si>
    <r>
      <rPr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>= Rω</t>
    </r>
    <r>
      <rPr>
        <vertAlign val="superscript"/>
        <sz val="11"/>
        <color indexed="8"/>
        <rFont val="Calibri"/>
        <family val="2"/>
      </rPr>
      <t>rad</t>
    </r>
  </si>
  <si>
    <r>
      <t>d</t>
    </r>
    <r>
      <rPr>
        <vertAlign val="subscript"/>
        <sz val="11"/>
        <color indexed="8"/>
        <rFont val="Calibri"/>
        <family val="2"/>
      </rPr>
      <t>i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</si>
  <si>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=√(</t>
    </r>
    <r>
      <rPr>
        <sz val="11"/>
        <color indexed="8"/>
        <rFont val="Garamond"/>
        <family val="1"/>
      </rPr>
      <t>ΔX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+ΔY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+ΔZ</t>
    </r>
    <r>
      <rPr>
        <vertAlign val="superscript"/>
        <sz val="11"/>
        <color indexed="8"/>
        <rFont val="Garamond"/>
        <family val="1"/>
      </rPr>
      <t>2</t>
    </r>
    <r>
      <rPr>
        <sz val="11"/>
        <color indexed="8"/>
        <rFont val="Garamond"/>
        <family val="1"/>
      </rPr>
      <t>)</t>
    </r>
  </si>
  <si>
    <t>ellisssoidi di rotazione</t>
  </si>
  <si>
    <t>IRE24</t>
  </si>
  <si>
    <t>Ellissoide Internazionale di Hayford (1909)</t>
  </si>
  <si>
    <t>WGS84</t>
  </si>
  <si>
    <r>
      <t>e</t>
    </r>
    <r>
      <rPr>
        <b/>
        <vertAlign val="superscript"/>
        <sz val="10"/>
        <rFont val="Arial"/>
        <family val="2"/>
      </rPr>
      <t>2</t>
    </r>
  </si>
  <si>
    <t>World Geodetic System</t>
  </si>
  <si>
    <t>nota</t>
  </si>
  <si>
    <t>IPOTESI CON SFERA LOCALE</t>
  </si>
  <si>
    <t>ρ1</t>
  </si>
  <si>
    <t>ρ2</t>
  </si>
  <si>
    <r>
      <t>R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=√(ρN</t>
    </r>
    <r>
      <rPr>
        <sz val="11"/>
        <color indexed="8"/>
        <rFont val="Calibri"/>
        <family val="2"/>
      </rPr>
      <t>)</t>
    </r>
  </si>
  <si>
    <r>
      <t>N=a/[√(1-e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sin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Garamond"/>
        <family val="1"/>
      </rPr>
      <t>φ</t>
    </r>
    <r>
      <rPr>
        <sz val="11"/>
        <color indexed="8"/>
        <rFont val="Calibri"/>
        <family val="2"/>
      </rPr>
      <t>)]</t>
    </r>
  </si>
  <si>
    <r>
      <t>ρ= a(1-e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/ (1-e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sin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φ)</t>
    </r>
    <r>
      <rPr>
        <vertAlign val="superscript"/>
        <sz val="11"/>
        <color indexed="8"/>
        <rFont val="Times New Roman"/>
        <family val="1"/>
      </rPr>
      <t>1/3</t>
    </r>
  </si>
  <si>
    <r>
      <t>ORIZ=√(2R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</si>
  <si>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 xml:space="preserve"> √(2R</t>
    </r>
    <r>
      <rPr>
        <vertAlign val="subscript"/>
        <sz val="11"/>
        <color indexed="8"/>
        <rFont val="Calibri"/>
        <family val="2"/>
      </rPr>
      <t>SL</t>
    </r>
    <r>
      <rPr>
        <vertAlign val="subscript"/>
        <sz val="11"/>
        <color indexed="8"/>
        <rFont val="Garamond"/>
        <family val="1"/>
      </rPr>
      <t>1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vertAlign val="subscript"/>
        <sz val="11"/>
        <color indexed="8"/>
        <rFont val="Calibri"/>
        <family val="2"/>
      </rPr>
      <t>SL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</si>
  <si>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R</t>
    </r>
    <r>
      <rPr>
        <vertAlign val="subscript"/>
        <sz val="10"/>
        <color indexed="8"/>
        <rFont val="Calibri"/>
        <family val="2"/>
      </rPr>
      <t>SL1</t>
    </r>
  </si>
  <si>
    <r>
      <t>R</t>
    </r>
    <r>
      <rPr>
        <vertAlign val="subscript"/>
        <sz val="10"/>
        <color indexed="8"/>
        <rFont val="Calibri"/>
        <family val="2"/>
      </rPr>
      <t>SL2</t>
    </r>
  </si>
  <si>
    <r>
      <t>R'</t>
    </r>
    <r>
      <rPr>
        <vertAlign val="subscript"/>
        <sz val="10"/>
        <color indexed="8"/>
        <rFont val="Calibri"/>
        <family val="2"/>
      </rPr>
      <t>SL1</t>
    </r>
  </si>
  <si>
    <r>
      <t>R'</t>
    </r>
    <r>
      <rPr>
        <vertAlign val="subscript"/>
        <sz val="10"/>
        <color indexed="8"/>
        <rFont val="Calibri"/>
        <family val="2"/>
      </rPr>
      <t>SL2</t>
    </r>
  </si>
  <si>
    <r>
      <t>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=7/6R</t>
    </r>
    <r>
      <rPr>
        <vertAlign val="subscript"/>
        <sz val="11"/>
        <color indexed="8"/>
        <rFont val="Calibri"/>
        <family val="2"/>
      </rPr>
      <t>SL</t>
    </r>
  </si>
  <si>
    <r>
      <t>ORIZ</t>
    </r>
    <r>
      <rPr>
        <vertAlign val="superscript"/>
        <sz val="11"/>
        <color indexed="8"/>
        <rFont val="Calibri"/>
        <family val="2"/>
      </rPr>
      <t>rifr</t>
    </r>
    <r>
      <rPr>
        <sz val="11"/>
        <color indexed="8"/>
        <rFont val="Calibri"/>
        <family val="2"/>
      </rPr>
      <t>=√(2R'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h+h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</si>
  <si>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 xml:space="preserve"> √(2R'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</si>
  <si>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</t>
    </r>
    <r>
      <rPr>
        <vertAlign val="subscript"/>
        <sz val="11"/>
        <color indexed="8"/>
        <rFont val="Calibri"/>
        <family val="2"/>
      </rPr>
      <t>SL1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</t>
    </r>
    <r>
      <rPr>
        <vertAlign val="subscript"/>
        <sz val="11"/>
        <color indexed="8"/>
        <rFont val="Calibri"/>
        <family val="2"/>
      </rPr>
      <t>SL2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</si>
  <si>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&lt; √(2R'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1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+ √(2R'</t>
    </r>
    <r>
      <rPr>
        <vertAlign val="subscript"/>
        <sz val="11"/>
        <color indexed="8"/>
        <rFont val="Calibri"/>
        <family val="2"/>
      </rPr>
      <t>SL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+h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</si>
  <si>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by Michele T. Mazzucato (ottobre, 2021)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</si>
</sst>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00"/>
    <numFmt numFmtId="166" formatCode="0.000000"/>
    <numFmt numFmtId="167" formatCode="0.0000000"/>
    <numFmt numFmtId="168" formatCode="0.00000"/>
    <numFmt numFmtId="169" formatCode="0.0000"/>
    <numFmt numFmtId="170" formatCode="0.000000000000"/>
    <numFmt numFmtId="171" formatCode="0.0"/>
    <numFmt numFmtId="172" formatCode="0.0000000000"/>
    <numFmt numFmtId="173" formatCode="0.000000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Garamond"/>
      <family val="1"/>
    </font>
    <font>
      <vertAlign val="superscript"/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Garamond"/>
      <family val="1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Garamond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vertAlign val="subscript"/>
      <sz val="10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23" fillId="11" borderId="3" applyNumberFormat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4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10" borderId="0" applyNumberFormat="0" applyBorder="0" applyAlignment="0" applyProtection="0"/>
    <xf numFmtId="0" fontId="0" fillId="4" borderId="4" applyNumberFormat="0" applyFont="0" applyAlignment="0" applyProtection="0"/>
    <xf numFmtId="0" fontId="26" fillId="2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8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64" fontId="1" fillId="4" borderId="0" xfId="0" applyNumberFormat="1" applyFont="1" applyFill="1" applyBorder="1" applyAlignment="1" applyProtection="1">
      <alignment horizontal="center"/>
      <protection hidden="1"/>
    </xf>
    <xf numFmtId="165" fontId="0" fillId="4" borderId="0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64" fontId="2" fillId="18" borderId="11" xfId="0" applyNumberFormat="1" applyFont="1" applyFill="1" applyBorder="1" applyAlignment="1" applyProtection="1">
      <alignment/>
      <protection hidden="1" locked="0"/>
    </xf>
    <xf numFmtId="0" fontId="2" fillId="18" borderId="0" xfId="0" applyFont="1" applyFill="1" applyBorder="1" applyAlignment="1" applyProtection="1">
      <alignment/>
      <protection hidden="1" locked="0"/>
    </xf>
    <xf numFmtId="167" fontId="0" fillId="0" borderId="0" xfId="0" applyNumberForma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1" xfId="0" applyNumberForma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0" xfId="0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hidden="1"/>
    </xf>
    <xf numFmtId="0" fontId="7" fillId="19" borderId="13" xfId="0" applyFont="1" applyFill="1" applyBorder="1" applyAlignment="1" applyProtection="1">
      <alignment horizontal="center"/>
      <protection hidden="1"/>
    </xf>
    <xf numFmtId="165" fontId="0" fillId="19" borderId="0" xfId="0" applyNumberFormat="1" applyFill="1" applyBorder="1" applyAlignment="1" applyProtection="1">
      <alignment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9" borderId="13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11" fillId="19" borderId="0" xfId="0" applyFont="1" applyFill="1" applyBorder="1" applyAlignment="1" applyProtection="1">
      <alignment/>
      <protection hidden="1"/>
    </xf>
    <xf numFmtId="0" fontId="0" fillId="19" borderId="13" xfId="0" applyFont="1" applyFill="1" applyBorder="1" applyAlignment="1" applyProtection="1">
      <alignment horizontal="center"/>
      <protection hidden="1"/>
    </xf>
    <xf numFmtId="0" fontId="0" fillId="19" borderId="15" xfId="0" applyFont="1" applyFill="1" applyBorder="1" applyAlignment="1" applyProtection="1">
      <alignment horizontal="center"/>
      <protection hidden="1"/>
    </xf>
    <xf numFmtId="164" fontId="0" fillId="19" borderId="16" xfId="0" applyNumberFormat="1" applyFill="1" applyBorder="1" applyAlignment="1" applyProtection="1">
      <alignment/>
      <protection hidden="1"/>
    </xf>
    <xf numFmtId="0" fontId="0" fillId="19" borderId="16" xfId="0" applyFont="1" applyFill="1" applyBorder="1" applyAlignment="1" applyProtection="1">
      <alignment/>
      <protection hidden="1"/>
    </xf>
    <xf numFmtId="0" fontId="0" fillId="19" borderId="17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3" fillId="20" borderId="16" xfId="0" applyFont="1" applyFill="1" applyBorder="1" applyAlignment="1" applyProtection="1">
      <alignment horizontal="center"/>
      <protection hidden="1"/>
    </xf>
    <xf numFmtId="0" fontId="2" fillId="2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170" fontId="1" fillId="4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19" borderId="18" xfId="0" applyFont="1" applyFill="1" applyBorder="1" applyAlignment="1" applyProtection="1">
      <alignment horizontal="center" vertical="center"/>
      <protection hidden="1"/>
    </xf>
    <xf numFmtId="0" fontId="2" fillId="19" borderId="19" xfId="0" applyFont="1" applyFill="1" applyBorder="1" applyAlignment="1" applyProtection="1">
      <alignment horizontal="center" vertical="center"/>
      <protection hidden="1"/>
    </xf>
    <xf numFmtId="0" fontId="2" fillId="19" borderId="2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3</xdr:row>
      <xdr:rowOff>9525</xdr:rowOff>
    </xdr:from>
    <xdr:to>
      <xdr:col>22</xdr:col>
      <xdr:colOff>304800</xdr:colOff>
      <xdr:row>24</xdr:row>
      <xdr:rowOff>200025</xdr:rowOff>
    </xdr:to>
    <xdr:pic>
      <xdr:nvPicPr>
        <xdr:cNvPr id="1" name="Immagine 2" descr="grafico ridu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581025"/>
          <a:ext cx="36004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3</xdr:row>
      <xdr:rowOff>28575</xdr:rowOff>
    </xdr:from>
    <xdr:to>
      <xdr:col>23</xdr:col>
      <xdr:colOff>571500</xdr:colOff>
      <xdr:row>25</xdr:row>
      <xdr:rowOff>76200</xdr:rowOff>
    </xdr:to>
    <xdr:pic>
      <xdr:nvPicPr>
        <xdr:cNvPr id="1" name="Immagine 2" descr="grafico ridu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600075"/>
          <a:ext cx="36004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3</xdr:row>
      <xdr:rowOff>9525</xdr:rowOff>
    </xdr:from>
    <xdr:to>
      <xdr:col>21</xdr:col>
      <xdr:colOff>38100</xdr:colOff>
      <xdr:row>22</xdr:row>
      <xdr:rowOff>209550</xdr:rowOff>
    </xdr:to>
    <xdr:pic>
      <xdr:nvPicPr>
        <xdr:cNvPr id="1" name="Immagine 2" descr="grafico ridu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581025"/>
          <a:ext cx="27241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9525</xdr:rowOff>
    </xdr:from>
    <xdr:to>
      <xdr:col>22</xdr:col>
      <xdr:colOff>304800</xdr:colOff>
      <xdr:row>23</xdr:row>
      <xdr:rowOff>38100</xdr:rowOff>
    </xdr:to>
    <xdr:pic>
      <xdr:nvPicPr>
        <xdr:cNvPr id="2" name="Immagine 2" descr="grafico ridu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581025"/>
          <a:ext cx="36004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Y4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1" customWidth="1"/>
    <col min="2" max="2" width="8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7" width="15.7109375" style="1" customWidth="1"/>
    <col min="8" max="8" width="8.7109375" style="1" customWidth="1"/>
    <col min="9" max="9" width="15.7109375" style="1" customWidth="1"/>
    <col min="10" max="10" width="5.7109375" style="1" customWidth="1"/>
    <col min="11" max="11" width="15.7109375" style="1" customWidth="1"/>
    <col min="12" max="12" width="5.7109375" style="1" customWidth="1"/>
    <col min="13" max="13" width="9.140625" style="1" customWidth="1"/>
    <col min="14" max="14" width="8.7109375" style="1" customWidth="1"/>
    <col min="15" max="15" width="15.7109375" style="1" customWidth="1"/>
    <col min="16" max="16" width="5.7109375" style="1" customWidth="1"/>
    <col min="17" max="17" width="10.140625" style="1" customWidth="1"/>
    <col min="18" max="19" width="9.140625" style="1" customWidth="1"/>
    <col min="20" max="21" width="15.7109375" style="1" customWidth="1"/>
    <col min="22" max="16384" width="9.140625" style="1" customWidth="1"/>
  </cols>
  <sheetData>
    <row r="2" spans="2:17" ht="15">
      <c r="B2" s="77" t="s">
        <v>0</v>
      </c>
      <c r="C2" s="77"/>
      <c r="N2" s="76" t="s">
        <v>108</v>
      </c>
      <c r="O2" s="76"/>
      <c r="P2" s="76"/>
      <c r="Q2" s="76"/>
    </row>
    <row r="3" spans="2:17" ht="15">
      <c r="B3" s="2" t="s">
        <v>1</v>
      </c>
      <c r="C3" s="47">
        <v>6378388</v>
      </c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7.25">
      <c r="B4" s="5" t="s">
        <v>3</v>
      </c>
      <c r="C4" s="48">
        <v>0.006722670022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2:17" ht="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 ht="17.25">
      <c r="B6" s="8" t="s">
        <v>4</v>
      </c>
      <c r="C6" s="48">
        <v>15</v>
      </c>
      <c r="D6" s="6" t="s">
        <v>5</v>
      </c>
      <c r="E6" s="9">
        <f>RADIANS(C6)</f>
        <v>0.2617993877991494</v>
      </c>
      <c r="F6" s="10" t="s">
        <v>6</v>
      </c>
      <c r="G6" s="6"/>
      <c r="H6" s="11" t="s">
        <v>7</v>
      </c>
      <c r="I6" s="48">
        <v>15</v>
      </c>
      <c r="J6" s="6" t="s">
        <v>5</v>
      </c>
      <c r="K6" s="12">
        <f>RADIANS(I6)</f>
        <v>0.2617993877991494</v>
      </c>
      <c r="L6" s="10" t="s">
        <v>6</v>
      </c>
      <c r="M6" s="6"/>
      <c r="N6" s="13" t="s">
        <v>8</v>
      </c>
      <c r="O6" s="12">
        <f>E6-K6</f>
        <v>0</v>
      </c>
      <c r="P6" s="10" t="s">
        <v>6</v>
      </c>
      <c r="Q6" s="7"/>
    </row>
    <row r="7" spans="2:17" ht="17.25">
      <c r="B7" s="14" t="s">
        <v>9</v>
      </c>
      <c r="C7" s="48">
        <v>10</v>
      </c>
      <c r="D7" s="6" t="s">
        <v>5</v>
      </c>
      <c r="E7" s="9">
        <f>RADIANS(C7)</f>
        <v>0.17453292519943295</v>
      </c>
      <c r="F7" s="10" t="s">
        <v>6</v>
      </c>
      <c r="G7" s="6"/>
      <c r="H7" s="13" t="s">
        <v>10</v>
      </c>
      <c r="I7" s="48">
        <v>10</v>
      </c>
      <c r="J7" s="6" t="s">
        <v>5</v>
      </c>
      <c r="K7" s="12">
        <f>RADIANS(I7)</f>
        <v>0.17453292519943295</v>
      </c>
      <c r="L7" s="10" t="s">
        <v>6</v>
      </c>
      <c r="M7" s="6"/>
      <c r="N7" s="13" t="s">
        <v>11</v>
      </c>
      <c r="O7" s="12">
        <f>E7-K7</f>
        <v>0</v>
      </c>
      <c r="P7" s="10" t="s">
        <v>6</v>
      </c>
      <c r="Q7" s="7"/>
    </row>
    <row r="8" spans="2:17" ht="15">
      <c r="B8" s="14" t="s">
        <v>12</v>
      </c>
      <c r="C8" s="48">
        <v>500</v>
      </c>
      <c r="D8" s="6" t="s">
        <v>2</v>
      </c>
      <c r="E8" s="6"/>
      <c r="F8" s="6"/>
      <c r="G8" s="6"/>
      <c r="H8" s="13" t="s">
        <v>13</v>
      </c>
      <c r="I8" s="48">
        <v>500</v>
      </c>
      <c r="J8" s="6" t="s">
        <v>2</v>
      </c>
      <c r="K8" s="6"/>
      <c r="L8" s="6"/>
      <c r="M8" s="6"/>
      <c r="N8" s="6"/>
      <c r="O8" s="6"/>
      <c r="P8" s="6"/>
      <c r="Q8" s="7"/>
    </row>
    <row r="9" spans="2:17" ht="15">
      <c r="B9" s="15"/>
      <c r="C9" s="6"/>
      <c r="D9" s="6"/>
      <c r="E9" s="6"/>
      <c r="F9" s="6"/>
      <c r="G9" s="6"/>
      <c r="H9" s="16"/>
      <c r="I9" s="6"/>
      <c r="J9" s="6"/>
      <c r="K9" s="6"/>
      <c r="L9" s="6"/>
      <c r="M9" s="6"/>
      <c r="N9" s="6"/>
      <c r="O9" s="6"/>
      <c r="P9" s="6"/>
      <c r="Q9" s="7"/>
    </row>
    <row r="10" spans="2:17" ht="17.25">
      <c r="B10" s="15" t="s">
        <v>14</v>
      </c>
      <c r="C10" s="17">
        <f>C3/(SQRT(1-C4*SIN(E6)^2))</f>
        <v>6379824.686158035</v>
      </c>
      <c r="D10" s="6" t="s">
        <v>2</v>
      </c>
      <c r="E10" s="6"/>
      <c r="F10" s="6"/>
      <c r="G10" s="6"/>
      <c r="H10" s="16" t="s">
        <v>15</v>
      </c>
      <c r="I10" s="17">
        <f>C3/(SQRT(1-C4*SIN(K6)^2))</f>
        <v>6379824.686158035</v>
      </c>
      <c r="J10" s="6" t="s">
        <v>2</v>
      </c>
      <c r="K10" s="6"/>
      <c r="L10" s="6"/>
      <c r="M10" s="6" t="s">
        <v>16</v>
      </c>
      <c r="N10" s="6"/>
      <c r="O10" s="6"/>
      <c r="P10" s="6"/>
      <c r="Q10" s="7"/>
    </row>
    <row r="11" spans="2:17" ht="17.25">
      <c r="B11" s="15" t="s">
        <v>17</v>
      </c>
      <c r="C11" s="17">
        <f>C10*COS(E6)*SQRT(1+(1-C4)^2*TAN(E6)^2)</f>
        <v>6376960.651789885</v>
      </c>
      <c r="D11" s="6" t="s">
        <v>2</v>
      </c>
      <c r="E11" s="6"/>
      <c r="F11" s="6"/>
      <c r="G11" s="6"/>
      <c r="H11" s="16" t="s">
        <v>18</v>
      </c>
      <c r="I11" s="17">
        <f>I10*COS(K6)*SQRT(1+(1-C4)^2*TAN(K6)^2)</f>
        <v>6376960.651789885</v>
      </c>
      <c r="J11" s="6" t="s">
        <v>2</v>
      </c>
      <c r="K11" s="6"/>
      <c r="L11" s="6"/>
      <c r="M11" s="6" t="s">
        <v>19</v>
      </c>
      <c r="N11" s="6"/>
      <c r="O11" s="6"/>
      <c r="P11" s="6"/>
      <c r="Q11" s="7"/>
    </row>
    <row r="12" spans="2:17" ht="15">
      <c r="B12" s="15" t="s">
        <v>20</v>
      </c>
      <c r="C12" s="17">
        <f>7/6*C11</f>
        <v>7439787.4270882</v>
      </c>
      <c r="D12" s="6" t="s">
        <v>2</v>
      </c>
      <c r="E12" s="6"/>
      <c r="F12" s="6"/>
      <c r="G12" s="6"/>
      <c r="H12" s="16" t="s">
        <v>21</v>
      </c>
      <c r="I12" s="17">
        <f>7/6*I11</f>
        <v>7439787.4270882</v>
      </c>
      <c r="J12" s="6" t="s">
        <v>2</v>
      </c>
      <c r="K12" s="6"/>
      <c r="L12" s="6"/>
      <c r="M12" s="6" t="s">
        <v>22</v>
      </c>
      <c r="N12" s="6"/>
      <c r="O12" s="6"/>
      <c r="P12" s="6"/>
      <c r="Q12" s="7"/>
    </row>
    <row r="13" spans="2:17" ht="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2:17" ht="15">
      <c r="B14" s="5" t="s">
        <v>23</v>
      </c>
      <c r="C14" s="17">
        <f>(C10+C8)*COS(E6)*COS(E7)</f>
        <v>6069291.785670856</v>
      </c>
      <c r="D14" s="6" t="s">
        <v>2</v>
      </c>
      <c r="E14" s="6"/>
      <c r="F14" s="6"/>
      <c r="G14" s="6"/>
      <c r="H14" s="18" t="s">
        <v>24</v>
      </c>
      <c r="I14" s="17">
        <f>(I10+I8)*COS(K6)*COS(K7)</f>
        <v>6069291.785670856</v>
      </c>
      <c r="J14" s="6" t="s">
        <v>2</v>
      </c>
      <c r="K14" s="6"/>
      <c r="L14" s="6"/>
      <c r="M14" s="6" t="s">
        <v>25</v>
      </c>
      <c r="N14" s="6"/>
      <c r="O14" s="6"/>
      <c r="P14" s="6"/>
      <c r="Q14" s="7"/>
    </row>
    <row r="15" spans="2:17" ht="15">
      <c r="B15" s="5" t="s">
        <v>26</v>
      </c>
      <c r="C15" s="17">
        <f>(C10+C8)*COS(E6)*SIN(E7)</f>
        <v>1070179.89560603</v>
      </c>
      <c r="D15" s="6" t="s">
        <v>2</v>
      </c>
      <c r="E15" s="6"/>
      <c r="F15" s="6"/>
      <c r="G15" s="6"/>
      <c r="H15" s="18" t="s">
        <v>27</v>
      </c>
      <c r="I15" s="17">
        <f>(I10+I8)*COS(K6)*SIN(K7)</f>
        <v>1070179.89560603</v>
      </c>
      <c r="J15" s="6" t="s">
        <v>2</v>
      </c>
      <c r="K15" s="6"/>
      <c r="L15" s="6"/>
      <c r="M15" s="6" t="s">
        <v>28</v>
      </c>
      <c r="N15" s="6"/>
      <c r="O15" s="6"/>
      <c r="P15" s="6"/>
      <c r="Q15" s="7"/>
    </row>
    <row r="16" spans="2:17" ht="17.25">
      <c r="B16" s="5" t="s">
        <v>29</v>
      </c>
      <c r="C16" s="17">
        <f>(C10*(1-C4)+C8)*SIN(E6)</f>
        <v>1640248.934626324</v>
      </c>
      <c r="D16" s="6" t="s">
        <v>2</v>
      </c>
      <c r="E16" s="6"/>
      <c r="F16" s="6"/>
      <c r="G16" s="6"/>
      <c r="H16" s="18" t="s">
        <v>30</v>
      </c>
      <c r="I16" s="17">
        <f>(I10*(1-C4)+I8)*SIN(K6)</f>
        <v>1640248.934626324</v>
      </c>
      <c r="J16" s="6" t="s">
        <v>2</v>
      </c>
      <c r="K16" s="6"/>
      <c r="L16" s="6"/>
      <c r="M16" s="6" t="s">
        <v>31</v>
      </c>
      <c r="N16" s="6"/>
      <c r="O16" s="6"/>
      <c r="P16" s="6"/>
      <c r="Q16" s="7"/>
    </row>
    <row r="17" spans="2:17" ht="15">
      <c r="B17" s="19"/>
      <c r="C17" s="6"/>
      <c r="D17" s="6"/>
      <c r="E17" s="6"/>
      <c r="F17" s="6"/>
      <c r="G17" s="6"/>
      <c r="H17" s="6"/>
      <c r="I17" s="20"/>
      <c r="J17" s="6"/>
      <c r="K17" s="6"/>
      <c r="L17" s="6"/>
      <c r="M17" s="6"/>
      <c r="N17" s="6"/>
      <c r="O17" s="6"/>
      <c r="P17" s="6"/>
      <c r="Q17" s="7"/>
    </row>
    <row r="18" spans="2:17" ht="18">
      <c r="B18" s="21" t="s">
        <v>82</v>
      </c>
      <c r="C18" s="17">
        <f>SQRT((C14-I14)^2+(C15-I15)^2+(C16-I16)^2)</f>
        <v>0</v>
      </c>
      <c r="D18" s="6" t="s">
        <v>2</v>
      </c>
      <c r="E18" s="6"/>
      <c r="F18" s="6"/>
      <c r="G18" s="6"/>
      <c r="H18" s="6"/>
      <c r="I18" s="6"/>
      <c r="J18" s="6"/>
      <c r="K18" s="6"/>
      <c r="L18" s="6"/>
      <c r="M18" s="6" t="s">
        <v>83</v>
      </c>
      <c r="N18" s="6"/>
      <c r="O18" s="6"/>
      <c r="P18" s="6"/>
      <c r="Q18" s="7"/>
    </row>
    <row r="19" spans="2:17" ht="15">
      <c r="B19" s="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2:17" ht="18">
      <c r="B20" s="5" t="s">
        <v>32</v>
      </c>
      <c r="C20" s="22">
        <f>2*ASIN(SQRT(SIN(O6/2)^2+COS(E6)*COS(K6)*SIN(O7/2)^2))</f>
        <v>0</v>
      </c>
      <c r="D20" s="23" t="s">
        <v>6</v>
      </c>
      <c r="E20" s="20"/>
      <c r="F20" s="6"/>
      <c r="G20" s="6"/>
      <c r="H20" s="6"/>
      <c r="I20" s="6"/>
      <c r="J20" s="6"/>
      <c r="K20" s="6"/>
      <c r="L20" s="6"/>
      <c r="M20" s="6" t="s">
        <v>33</v>
      </c>
      <c r="N20" s="6"/>
      <c r="O20" s="6"/>
      <c r="P20" s="6"/>
      <c r="Q20" s="7"/>
    </row>
    <row r="21" spans="2:17" ht="15">
      <c r="B21" s="19"/>
      <c r="C21" s="2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ht="18">
      <c r="B22" s="5" t="s">
        <v>34</v>
      </c>
      <c r="C22" s="17">
        <f>SQRT((2*C11*C8)+C8^2)</f>
        <v>79857.43955192831</v>
      </c>
      <c r="D22" s="6" t="s">
        <v>2</v>
      </c>
      <c r="E22" s="6"/>
      <c r="F22" s="6"/>
      <c r="G22" s="6"/>
      <c r="H22" s="18" t="s">
        <v>35</v>
      </c>
      <c r="I22" s="17">
        <f>SQRT((2*I11*I8)+I8^2)</f>
        <v>79857.43955192831</v>
      </c>
      <c r="J22" s="6" t="s">
        <v>2</v>
      </c>
      <c r="K22" s="6"/>
      <c r="L22" s="6"/>
      <c r="M22" s="6" t="s">
        <v>36</v>
      </c>
      <c r="N22" s="6"/>
      <c r="O22" s="6"/>
      <c r="P22" s="6"/>
      <c r="Q22" s="7"/>
    </row>
    <row r="23" spans="2:17" ht="18">
      <c r="B23" s="5" t="s">
        <v>37</v>
      </c>
      <c r="C23" s="17">
        <f>SQRT((2*C12*C8)+C8^2)</f>
        <v>86255.65156607536</v>
      </c>
      <c r="D23" s="6" t="s">
        <v>2</v>
      </c>
      <c r="E23" s="6"/>
      <c r="F23" s="6"/>
      <c r="G23" s="6"/>
      <c r="H23" s="18" t="s">
        <v>38</v>
      </c>
      <c r="I23" s="17">
        <f>SQRT((2*I12*I8)+I8^2)</f>
        <v>86255.65156607536</v>
      </c>
      <c r="J23" s="6" t="s">
        <v>2</v>
      </c>
      <c r="K23" s="6"/>
      <c r="L23" s="6"/>
      <c r="M23" s="6" t="s">
        <v>39</v>
      </c>
      <c r="N23" s="6"/>
      <c r="O23" s="6"/>
      <c r="P23" s="6"/>
      <c r="Q23" s="7"/>
    </row>
    <row r="24" spans="2:17" ht="18">
      <c r="B24" s="19"/>
      <c r="C24" s="6"/>
      <c r="D24" s="25"/>
      <c r="E24" s="18" t="s">
        <v>40</v>
      </c>
      <c r="F24" s="26"/>
      <c r="G24" s="27">
        <f>C22+I22</f>
        <v>159714.87910385663</v>
      </c>
      <c r="H24" s="6" t="s">
        <v>2</v>
      </c>
      <c r="I24" s="6"/>
      <c r="J24" s="6"/>
      <c r="K24" s="6"/>
      <c r="L24" s="6"/>
      <c r="M24" s="6" t="s">
        <v>41</v>
      </c>
      <c r="N24" s="6"/>
      <c r="O24" s="6"/>
      <c r="P24" s="6" t="s">
        <v>42</v>
      </c>
      <c r="Q24" s="7"/>
    </row>
    <row r="25" spans="2:17" ht="18">
      <c r="B25" s="19"/>
      <c r="C25" s="6"/>
      <c r="D25" s="6"/>
      <c r="E25" s="18" t="s">
        <v>43</v>
      </c>
      <c r="F25" s="26"/>
      <c r="G25" s="27">
        <f>C23+I23</f>
        <v>172511.30313215073</v>
      </c>
      <c r="H25" s="28" t="s">
        <v>2</v>
      </c>
      <c r="I25" s="6"/>
      <c r="J25" s="6"/>
      <c r="K25" s="6"/>
      <c r="L25" s="6"/>
      <c r="M25" s="6" t="s">
        <v>44</v>
      </c>
      <c r="N25" s="6"/>
      <c r="O25" s="6"/>
      <c r="P25" s="6" t="s">
        <v>45</v>
      </c>
      <c r="Q25" s="7"/>
    </row>
    <row r="26" spans="2:25" ht="15">
      <c r="B26" s="19"/>
      <c r="C26" s="6"/>
      <c r="D26" s="6"/>
      <c r="E26" s="18"/>
      <c r="F26" s="6"/>
      <c r="G26" s="17"/>
      <c r="H26" s="6"/>
      <c r="I26" s="6"/>
      <c r="J26" s="6"/>
      <c r="K26" s="6"/>
      <c r="L26" s="6"/>
      <c r="M26" s="6"/>
      <c r="N26" s="6"/>
      <c r="O26" s="6"/>
      <c r="P26" s="6"/>
      <c r="Q26" s="7"/>
      <c r="S26" s="82" t="s">
        <v>84</v>
      </c>
      <c r="T26" s="82"/>
      <c r="U26" s="82"/>
      <c r="V26" s="82"/>
      <c r="W26" s="82"/>
      <c r="X26" s="82"/>
      <c r="Y26" s="82"/>
    </row>
    <row r="27" spans="2:25" ht="15">
      <c r="B27" s="19"/>
      <c r="C27" s="6"/>
      <c r="D27" s="6"/>
      <c r="E27" s="18"/>
      <c r="F27" s="6"/>
      <c r="G27" s="17"/>
      <c r="H27" s="6"/>
      <c r="I27" s="6"/>
      <c r="J27" s="6"/>
      <c r="K27" s="6"/>
      <c r="L27" s="6"/>
      <c r="M27" s="6" t="s">
        <v>46</v>
      </c>
      <c r="N27" s="6"/>
      <c r="O27" s="6"/>
      <c r="P27" s="6"/>
      <c r="Q27" s="7"/>
      <c r="S27" s="29"/>
      <c r="T27" s="30" t="s">
        <v>1</v>
      </c>
      <c r="U27" s="30" t="s">
        <v>88</v>
      </c>
      <c r="V27" s="83" t="s">
        <v>90</v>
      </c>
      <c r="W27" s="83"/>
      <c r="X27" s="83"/>
      <c r="Y27" s="83"/>
    </row>
    <row r="28" spans="2:25" ht="18.75">
      <c r="B28" s="19"/>
      <c r="C28" s="17"/>
      <c r="D28" s="78" t="s">
        <v>47</v>
      </c>
      <c r="E28" s="78"/>
      <c r="F28" s="6"/>
      <c r="G28" s="18" t="str">
        <f>IF(C12&lt;G24,"visibili","non visibili")</f>
        <v>non visibili</v>
      </c>
      <c r="H28" s="6"/>
      <c r="I28" s="17">
        <f>C18-G24</f>
        <v>-159714.87910385663</v>
      </c>
      <c r="J28" s="6" t="s">
        <v>2</v>
      </c>
      <c r="K28" s="6"/>
      <c r="L28" s="6"/>
      <c r="M28" s="6" t="s">
        <v>48</v>
      </c>
      <c r="N28" s="6"/>
      <c r="O28" s="6"/>
      <c r="P28" s="6" t="s">
        <v>42</v>
      </c>
      <c r="Q28" s="7"/>
      <c r="S28" s="31" t="s">
        <v>85</v>
      </c>
      <c r="T28" s="32">
        <v>6378388</v>
      </c>
      <c r="U28" s="33">
        <v>0.00672267</v>
      </c>
      <c r="V28" s="81" t="s">
        <v>86</v>
      </c>
      <c r="W28" s="81"/>
      <c r="X28" s="81"/>
      <c r="Y28" s="81"/>
    </row>
    <row r="29" spans="2:25" ht="18.75">
      <c r="B29" s="34"/>
      <c r="C29" s="35"/>
      <c r="D29" s="79" t="s">
        <v>49</v>
      </c>
      <c r="E29" s="79"/>
      <c r="F29" s="35"/>
      <c r="G29" s="37" t="str">
        <f>IF(C13&lt;G25,"visibili","non visibili")</f>
        <v>visibili</v>
      </c>
      <c r="H29" s="35"/>
      <c r="I29" s="38">
        <f>C18-G25</f>
        <v>-172511.30313215073</v>
      </c>
      <c r="J29" s="35" t="s">
        <v>2</v>
      </c>
      <c r="K29" s="35"/>
      <c r="L29" s="35"/>
      <c r="M29" s="35" t="s">
        <v>50</v>
      </c>
      <c r="N29" s="35"/>
      <c r="O29" s="35"/>
      <c r="P29" s="35" t="s">
        <v>45</v>
      </c>
      <c r="Q29" s="39"/>
      <c r="S29" s="31" t="s">
        <v>87</v>
      </c>
      <c r="T29" s="32">
        <v>6378140</v>
      </c>
      <c r="U29" s="33">
        <v>0.00669438002</v>
      </c>
      <c r="V29" s="80" t="s">
        <v>89</v>
      </c>
      <c r="W29" s="80"/>
      <c r="X29" s="80"/>
      <c r="Y29" s="80"/>
    </row>
    <row r="33" spans="3:9" ht="15">
      <c r="C33" s="40"/>
      <c r="D33" s="41"/>
      <c r="E33" s="41"/>
      <c r="F33" s="42"/>
      <c r="G33" s="42"/>
      <c r="H33" s="42"/>
      <c r="I33" s="42"/>
    </row>
    <row r="34" spans="3:9" ht="15">
      <c r="C34" s="43"/>
      <c r="D34" s="43"/>
      <c r="E34" s="43"/>
      <c r="F34" s="43"/>
      <c r="G34" s="43"/>
      <c r="H34" s="43"/>
      <c r="I34" s="43"/>
    </row>
    <row r="35" spans="3:9" ht="15">
      <c r="C35" s="43"/>
      <c r="D35" s="43"/>
      <c r="E35" s="43"/>
      <c r="F35" s="43"/>
      <c r="G35" s="43"/>
      <c r="H35" s="43"/>
      <c r="I35" s="43"/>
    </row>
    <row r="36" spans="3:9" ht="15">
      <c r="C36" s="43"/>
      <c r="D36" s="43"/>
      <c r="E36" s="43"/>
      <c r="F36" s="43"/>
      <c r="G36" s="43"/>
      <c r="H36" s="43"/>
      <c r="I36" s="43"/>
    </row>
    <row r="37" spans="3:9" ht="15">
      <c r="C37" s="43"/>
      <c r="D37" s="43"/>
      <c r="E37" s="43"/>
      <c r="F37" s="43"/>
      <c r="G37" s="43"/>
      <c r="H37" s="43"/>
      <c r="I37" s="43"/>
    </row>
    <row r="38" spans="3:9" ht="15">
      <c r="C38" s="43"/>
      <c r="D38" s="44"/>
      <c r="E38" s="45"/>
      <c r="F38" s="44"/>
      <c r="G38" s="45"/>
      <c r="H38" s="43"/>
      <c r="I38" s="43"/>
    </row>
    <row r="39" spans="3:9" ht="15">
      <c r="C39" s="43"/>
      <c r="D39" s="46"/>
      <c r="E39" s="45"/>
      <c r="F39" s="46"/>
      <c r="G39" s="45"/>
      <c r="H39" s="43"/>
      <c r="I39" s="43"/>
    </row>
    <row r="40" spans="3:9" ht="15">
      <c r="C40" s="43"/>
      <c r="D40" s="46"/>
      <c r="E40" s="45"/>
      <c r="F40" s="46"/>
      <c r="G40" s="45"/>
      <c r="H40" s="43"/>
      <c r="I40" s="43"/>
    </row>
  </sheetData>
  <sheetProtection password="CE90" sheet="1" objects="1" scenarios="1" selectLockedCells="1"/>
  <mergeCells count="8">
    <mergeCell ref="V29:Y29"/>
    <mergeCell ref="V28:Y28"/>
    <mergeCell ref="S26:Y26"/>
    <mergeCell ref="V27:Y27"/>
    <mergeCell ref="N2:Q2"/>
    <mergeCell ref="B2:C2"/>
    <mergeCell ref="D28:E28"/>
    <mergeCell ref="D29:E29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Q4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8.8515625" style="1" customWidth="1"/>
    <col min="2" max="2" width="7.7109375" style="1" customWidth="1"/>
    <col min="3" max="3" width="15.7109375" style="1" customWidth="1"/>
    <col min="4" max="4" width="5.7109375" style="1" customWidth="1"/>
    <col min="5" max="5" width="15.7109375" style="1" customWidth="1"/>
    <col min="6" max="6" width="5.7109375" style="1" customWidth="1"/>
    <col min="7" max="7" width="15.7109375" style="1" customWidth="1"/>
    <col min="8" max="8" width="7.7109375" style="1" customWidth="1"/>
    <col min="9" max="9" width="15.7109375" style="1" customWidth="1"/>
    <col min="10" max="10" width="5.7109375" style="1" customWidth="1"/>
    <col min="11" max="11" width="15.7109375" style="1" customWidth="1"/>
    <col min="12" max="12" width="5.7109375" style="1" customWidth="1"/>
    <col min="13" max="13" width="9.140625" style="1" customWidth="1"/>
    <col min="14" max="14" width="5.7109375" style="1" customWidth="1"/>
    <col min="15" max="15" width="15.7109375" style="1" customWidth="1"/>
    <col min="16" max="16" width="5.7109375" style="1" customWidth="1"/>
    <col min="17" max="17" width="10.7109375" style="1" customWidth="1"/>
    <col min="18" max="16384" width="9.140625" style="1" customWidth="1"/>
  </cols>
  <sheetData>
    <row r="1" ht="15">
      <c r="G1" s="49"/>
    </row>
    <row r="2" spans="2:17" ht="15">
      <c r="B2" s="77" t="s">
        <v>51</v>
      </c>
      <c r="C2" s="77"/>
      <c r="G2" s="50"/>
      <c r="N2" s="76" t="s">
        <v>108</v>
      </c>
      <c r="O2" s="76"/>
      <c r="P2" s="76"/>
      <c r="Q2" s="76"/>
    </row>
    <row r="3" spans="2:17" ht="15">
      <c r="B3" s="2" t="s">
        <v>52</v>
      </c>
      <c r="C3" s="47">
        <v>6371000</v>
      </c>
      <c r="D3" s="3" t="s">
        <v>2</v>
      </c>
      <c r="E3" s="3"/>
      <c r="F3" s="3"/>
      <c r="G3" s="51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5">
      <c r="B4" s="5" t="s">
        <v>53</v>
      </c>
      <c r="C4" s="17">
        <f>7/6*C3</f>
        <v>7432833.333333334</v>
      </c>
      <c r="D4" s="6" t="s">
        <v>2</v>
      </c>
      <c r="E4" s="6"/>
      <c r="F4" s="6"/>
      <c r="G4" s="6"/>
      <c r="H4" s="6"/>
      <c r="I4" s="6"/>
      <c r="J4" s="6"/>
      <c r="K4" s="6"/>
      <c r="L4" s="6"/>
      <c r="M4" s="6" t="s">
        <v>54</v>
      </c>
      <c r="N4" s="6"/>
      <c r="O4" s="6"/>
      <c r="P4" s="6"/>
      <c r="Q4" s="7"/>
    </row>
    <row r="5" spans="2:17" ht="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 ht="17.25">
      <c r="B6" s="8" t="s">
        <v>4</v>
      </c>
      <c r="C6" s="48">
        <v>15</v>
      </c>
      <c r="D6" s="6" t="s">
        <v>5</v>
      </c>
      <c r="E6" s="9">
        <f>RADIANS(C6)</f>
        <v>0.2617993877991494</v>
      </c>
      <c r="F6" s="10" t="s">
        <v>6</v>
      </c>
      <c r="G6" s="6"/>
      <c r="H6" s="11" t="s">
        <v>7</v>
      </c>
      <c r="I6" s="48">
        <v>16</v>
      </c>
      <c r="J6" s="6" t="s">
        <v>5</v>
      </c>
      <c r="K6" s="12">
        <f>RADIANS(I6)</f>
        <v>0.2792526803190927</v>
      </c>
      <c r="L6" s="10" t="s">
        <v>6</v>
      </c>
      <c r="M6" s="6"/>
      <c r="N6" s="13" t="s">
        <v>8</v>
      </c>
      <c r="O6" s="12">
        <f>E6-K6</f>
        <v>-0.01745329251994332</v>
      </c>
      <c r="P6" s="10" t="s">
        <v>6</v>
      </c>
      <c r="Q6" s="7"/>
    </row>
    <row r="7" spans="2:17" ht="17.25">
      <c r="B7" s="5" t="s">
        <v>9</v>
      </c>
      <c r="C7" s="48">
        <v>10</v>
      </c>
      <c r="D7" s="6" t="s">
        <v>5</v>
      </c>
      <c r="E7" s="9">
        <f>RADIANS(C7)</f>
        <v>0.17453292519943295</v>
      </c>
      <c r="F7" s="10" t="s">
        <v>6</v>
      </c>
      <c r="G7" s="6"/>
      <c r="H7" s="18" t="s">
        <v>10</v>
      </c>
      <c r="I7" s="48">
        <v>12</v>
      </c>
      <c r="J7" s="6" t="s">
        <v>5</v>
      </c>
      <c r="K7" s="12">
        <f>RADIANS(I7)</f>
        <v>0.20943951023931956</v>
      </c>
      <c r="L7" s="10" t="s">
        <v>6</v>
      </c>
      <c r="M7" s="6"/>
      <c r="N7" s="13" t="s">
        <v>11</v>
      </c>
      <c r="O7" s="12">
        <f>E7-K7</f>
        <v>-0.03490658503988661</v>
      </c>
      <c r="P7" s="10" t="s">
        <v>6</v>
      </c>
      <c r="Q7" s="7"/>
    </row>
    <row r="8" spans="2:17" ht="15">
      <c r="B8" s="5" t="s">
        <v>12</v>
      </c>
      <c r="C8" s="48">
        <v>500</v>
      </c>
      <c r="D8" s="6" t="s">
        <v>2</v>
      </c>
      <c r="E8" s="6"/>
      <c r="F8" s="6"/>
      <c r="G8" s="6"/>
      <c r="H8" s="18" t="s">
        <v>13</v>
      </c>
      <c r="I8" s="48">
        <v>2000</v>
      </c>
      <c r="J8" s="6" t="s">
        <v>2</v>
      </c>
      <c r="K8" s="6"/>
      <c r="L8" s="6"/>
      <c r="M8" s="6"/>
      <c r="N8" s="6"/>
      <c r="O8" s="6"/>
      <c r="P8" s="6"/>
      <c r="Q8" s="7"/>
    </row>
    <row r="9" spans="2:17" ht="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2:17" ht="15">
      <c r="B10" s="5" t="s">
        <v>23</v>
      </c>
      <c r="C10" s="17">
        <f>(C3+C8)*COS(E6)*COS(E7)</f>
        <v>6060897.291997786</v>
      </c>
      <c r="D10" s="6" t="s">
        <v>2</v>
      </c>
      <c r="E10" s="6"/>
      <c r="F10" s="6"/>
      <c r="G10" s="6"/>
      <c r="H10" s="18" t="s">
        <v>24</v>
      </c>
      <c r="I10" s="17">
        <f>(C3+I8)*COS(K6)*COS(K7)</f>
        <v>5992250.350797901</v>
      </c>
      <c r="J10" s="6" t="s">
        <v>2</v>
      </c>
      <c r="K10" s="6"/>
      <c r="L10" s="6"/>
      <c r="M10" s="6" t="s">
        <v>55</v>
      </c>
      <c r="N10" s="6"/>
      <c r="O10" s="6"/>
      <c r="P10" s="6"/>
      <c r="Q10" s="7"/>
    </row>
    <row r="11" spans="2:17" ht="15">
      <c r="B11" s="5" t="s">
        <v>26</v>
      </c>
      <c r="C11" s="17">
        <f>(C3+C8)*COS(E6)*SIN(E7)</f>
        <v>1068699.719882081</v>
      </c>
      <c r="D11" s="6" t="s">
        <v>2</v>
      </c>
      <c r="E11" s="6"/>
      <c r="F11" s="6"/>
      <c r="G11" s="6"/>
      <c r="H11" s="18" t="s">
        <v>27</v>
      </c>
      <c r="I11" s="17">
        <f>(C3+I8)*COS(K6)*SIN(K7)</f>
        <v>1273692.1312315858</v>
      </c>
      <c r="J11" s="6" t="s">
        <v>2</v>
      </c>
      <c r="K11" s="6"/>
      <c r="L11" s="6"/>
      <c r="M11" s="6" t="s">
        <v>56</v>
      </c>
      <c r="N11" s="6"/>
      <c r="O11" s="6"/>
      <c r="P11" s="6"/>
      <c r="Q11" s="7"/>
    </row>
    <row r="12" spans="2:17" ht="15">
      <c r="B12" s="5" t="s">
        <v>29</v>
      </c>
      <c r="C12" s="17">
        <f>(C3+C8)*SIN(E6)</f>
        <v>1649065.5458707109</v>
      </c>
      <c r="D12" s="6" t="s">
        <v>2</v>
      </c>
      <c r="E12" s="6"/>
      <c r="F12" s="6"/>
      <c r="G12" s="6"/>
      <c r="H12" s="18" t="s">
        <v>30</v>
      </c>
      <c r="I12" s="17">
        <f>(C3+I8)*SIN(K6)</f>
        <v>1756636.8686217356</v>
      </c>
      <c r="J12" s="6" t="s">
        <v>2</v>
      </c>
      <c r="K12" s="6"/>
      <c r="L12" s="6"/>
      <c r="M12" s="6" t="s">
        <v>57</v>
      </c>
      <c r="N12" s="6"/>
      <c r="O12" s="6"/>
      <c r="P12" s="6"/>
      <c r="Q12" s="7"/>
    </row>
    <row r="13" spans="2:17" ht="15"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2:17" ht="18">
      <c r="B14" s="5" t="s">
        <v>58</v>
      </c>
      <c r="C14" s="17">
        <f>SQRT((C10-I10)^2+(C11-I11)^2+(C12-I12)^2)</f>
        <v>241466.1067839338</v>
      </c>
      <c r="D14" s="6" t="s">
        <v>2</v>
      </c>
      <c r="E14" s="6"/>
      <c r="F14" s="6"/>
      <c r="G14" s="6"/>
      <c r="H14" s="6"/>
      <c r="I14" s="6"/>
      <c r="J14" s="6"/>
      <c r="K14" s="6"/>
      <c r="L14" s="6"/>
      <c r="M14" s="6" t="s">
        <v>59</v>
      </c>
      <c r="N14" s="6"/>
      <c r="O14" s="6"/>
      <c r="P14" s="6"/>
      <c r="Q14" s="7"/>
    </row>
    <row r="15" spans="2:17" ht="15">
      <c r="B15" s="19"/>
      <c r="C15" s="6"/>
      <c r="D15" s="5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2:17" ht="18">
      <c r="B16" s="5" t="s">
        <v>32</v>
      </c>
      <c r="C16" s="22">
        <f>2*ASIN(SQRT(SIN(O6/2)^2+COS(E6)*COS(K6)*SIN(O7/2)^2))</f>
        <v>0.037894919011557976</v>
      </c>
      <c r="D16" s="10" t="s">
        <v>6</v>
      </c>
      <c r="E16" s="20"/>
      <c r="F16" s="6"/>
      <c r="G16" s="6"/>
      <c r="H16" s="6"/>
      <c r="I16" s="6"/>
      <c r="J16" s="6"/>
      <c r="K16" s="6"/>
      <c r="L16" s="6"/>
      <c r="M16" s="6" t="s">
        <v>33</v>
      </c>
      <c r="N16" s="6"/>
      <c r="O16" s="6"/>
      <c r="P16" s="6"/>
      <c r="Q16" s="7"/>
    </row>
    <row r="17" spans="2:17" ht="15">
      <c r="B17" s="5"/>
      <c r="C17" s="6"/>
      <c r="D17" s="23"/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2:17" ht="18">
      <c r="B18" s="5" t="s">
        <v>60</v>
      </c>
      <c r="C18" s="17">
        <f>(C3+I8)*SIN(C16)</f>
        <v>241446.52197534067</v>
      </c>
      <c r="D18" s="6" t="s">
        <v>2</v>
      </c>
      <c r="E18" s="20"/>
      <c r="F18" s="6"/>
      <c r="G18" s="6"/>
      <c r="H18" s="6"/>
      <c r="I18" s="6"/>
      <c r="J18" s="6"/>
      <c r="K18" s="6"/>
      <c r="L18" s="6"/>
      <c r="M18" s="6" t="s">
        <v>61</v>
      </c>
      <c r="N18" s="6"/>
      <c r="O18" s="6"/>
      <c r="P18" s="6"/>
      <c r="Q18" s="7"/>
    </row>
    <row r="19" spans="2:17" ht="15">
      <c r="B19" s="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2:17" ht="18">
      <c r="B20" s="5" t="s">
        <v>62</v>
      </c>
      <c r="C20" s="22">
        <f>((C3+I8)*SIN(C16))/C14</f>
        <v>0.9999188921010325</v>
      </c>
      <c r="D20" s="23"/>
      <c r="E20" s="6"/>
      <c r="F20" s="6"/>
      <c r="G20" s="6"/>
      <c r="H20" s="6"/>
      <c r="I20" s="6"/>
      <c r="J20" s="6"/>
      <c r="K20" s="6"/>
      <c r="L20" s="6"/>
      <c r="M20" s="6" t="s">
        <v>63</v>
      </c>
      <c r="N20" s="6"/>
      <c r="O20" s="6"/>
      <c r="P20" s="6"/>
      <c r="Q20" s="7"/>
    </row>
    <row r="21" spans="2:17" ht="15">
      <c r="B21" s="19"/>
      <c r="C21" s="6"/>
      <c r="D21" s="6"/>
      <c r="E21" s="6"/>
      <c r="F21" s="6"/>
      <c r="G21" s="6"/>
      <c r="H21" s="6"/>
      <c r="I21" s="17"/>
      <c r="J21" s="6"/>
      <c r="K21" s="6"/>
      <c r="L21" s="6"/>
      <c r="M21" s="6"/>
      <c r="N21" s="6"/>
      <c r="O21" s="6"/>
      <c r="P21" s="6"/>
      <c r="Q21" s="7"/>
    </row>
    <row r="22" spans="2:17" ht="18">
      <c r="B22" s="5" t="s">
        <v>64</v>
      </c>
      <c r="C22" s="17">
        <f>C14*COS(RADIANS(C20))</f>
        <v>241429.33629163232</v>
      </c>
      <c r="D22" s="6" t="s">
        <v>2</v>
      </c>
      <c r="E22" s="6"/>
      <c r="F22" s="6"/>
      <c r="G22" s="17"/>
      <c r="H22" s="6"/>
      <c r="I22" s="17"/>
      <c r="J22" s="6"/>
      <c r="K22" s="6"/>
      <c r="L22" s="6"/>
      <c r="M22" s="6" t="s">
        <v>65</v>
      </c>
      <c r="N22" s="6"/>
      <c r="O22" s="6"/>
      <c r="P22" s="6"/>
      <c r="Q22" s="7"/>
    </row>
    <row r="23" spans="2:17" ht="15">
      <c r="B23" s="1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2:17" ht="18">
      <c r="B24" s="5" t="s">
        <v>34</v>
      </c>
      <c r="C24" s="17">
        <f>SQRT((2*C3*C8)+C8^2)</f>
        <v>79820.110247982</v>
      </c>
      <c r="D24" s="6" t="s">
        <v>2</v>
      </c>
      <c r="E24" s="6"/>
      <c r="F24" s="6"/>
      <c r="G24" s="6"/>
      <c r="H24" s="18" t="s">
        <v>35</v>
      </c>
      <c r="I24" s="17">
        <f>SQRT((2*C3*I8)+I8^2)</f>
        <v>159649.61634780085</v>
      </c>
      <c r="J24" s="53" t="s">
        <v>2</v>
      </c>
      <c r="K24" s="6"/>
      <c r="L24" s="6"/>
      <c r="M24" s="6" t="s">
        <v>66</v>
      </c>
      <c r="N24" s="6"/>
      <c r="O24" s="6"/>
      <c r="P24" s="6"/>
      <c r="Q24" s="7"/>
    </row>
    <row r="25" spans="2:17" ht="18">
      <c r="B25" s="5" t="s">
        <v>37</v>
      </c>
      <c r="C25" s="17">
        <f>SQRT((2*C4*C8)+C8^2)</f>
        <v>86215.33119656466</v>
      </c>
      <c r="D25" s="6" t="s">
        <v>2</v>
      </c>
      <c r="E25" s="6"/>
      <c r="F25" s="6"/>
      <c r="G25" s="6"/>
      <c r="H25" s="18" t="s">
        <v>38</v>
      </c>
      <c r="I25" s="17">
        <f>SQRT((2*C4*I8)+I8^2)</f>
        <v>172439.3613225627</v>
      </c>
      <c r="J25" s="6" t="s">
        <v>2</v>
      </c>
      <c r="K25" s="6"/>
      <c r="L25" s="6"/>
      <c r="M25" s="6" t="s">
        <v>67</v>
      </c>
      <c r="N25" s="6"/>
      <c r="O25" s="6"/>
      <c r="P25" s="6"/>
      <c r="Q25" s="7"/>
    </row>
    <row r="26" spans="2:17" ht="18">
      <c r="B26" s="19"/>
      <c r="C26" s="6"/>
      <c r="D26" s="6"/>
      <c r="E26" s="18" t="s">
        <v>40</v>
      </c>
      <c r="F26" s="6"/>
      <c r="G26" s="27">
        <f>C24+I24</f>
        <v>239469.72659578285</v>
      </c>
      <c r="H26" s="6" t="s">
        <v>2</v>
      </c>
      <c r="I26" s="6"/>
      <c r="J26" s="6"/>
      <c r="K26" s="6"/>
      <c r="L26" s="6"/>
      <c r="M26" s="6" t="s">
        <v>68</v>
      </c>
      <c r="N26" s="6"/>
      <c r="O26" s="6"/>
      <c r="P26" s="6" t="s">
        <v>42</v>
      </c>
      <c r="Q26" s="7"/>
    </row>
    <row r="27" spans="2:17" ht="18.75">
      <c r="B27" s="19"/>
      <c r="C27" s="6"/>
      <c r="D27" s="6"/>
      <c r="E27" s="18" t="s">
        <v>43</v>
      </c>
      <c r="F27" s="6"/>
      <c r="G27" s="27">
        <f>C25+I25</f>
        <v>258654.69251912736</v>
      </c>
      <c r="H27" s="28" t="s">
        <v>2</v>
      </c>
      <c r="I27" s="6"/>
      <c r="J27" s="6"/>
      <c r="K27" s="6"/>
      <c r="L27" s="6"/>
      <c r="M27" s="6" t="s">
        <v>69</v>
      </c>
      <c r="N27" s="6"/>
      <c r="O27" s="6"/>
      <c r="P27" s="6" t="s">
        <v>45</v>
      </c>
      <c r="Q27" s="7"/>
    </row>
    <row r="28" spans="2:17" ht="15">
      <c r="B28" s="19"/>
      <c r="C28" s="6"/>
      <c r="D28" s="6"/>
      <c r="E28" s="18"/>
      <c r="F28" s="6"/>
      <c r="G28" s="17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2:17" ht="15">
      <c r="B29" s="19"/>
      <c r="C29" s="6"/>
      <c r="D29" s="6"/>
      <c r="E29" s="18"/>
      <c r="F29" s="6"/>
      <c r="G29" s="17"/>
      <c r="H29" s="6"/>
      <c r="I29" s="6"/>
      <c r="J29" s="6"/>
      <c r="K29" s="6"/>
      <c r="L29" s="6"/>
      <c r="M29" s="6" t="s">
        <v>46</v>
      </c>
      <c r="N29" s="6"/>
      <c r="O29" s="6"/>
      <c r="P29" s="6"/>
      <c r="Q29" s="7"/>
    </row>
    <row r="30" spans="2:17" ht="18.75">
      <c r="B30" s="19"/>
      <c r="C30" s="17"/>
      <c r="D30" s="78" t="s">
        <v>47</v>
      </c>
      <c r="E30" s="78"/>
      <c r="F30" s="6"/>
      <c r="G30" s="18" t="str">
        <f>IF(C14&lt;G26,"visibili","non visibili")</f>
        <v>non visibili</v>
      </c>
      <c r="H30" s="6"/>
      <c r="I30" s="17">
        <f>C14-G26</f>
        <v>1996.3801881509426</v>
      </c>
      <c r="J30" s="6" t="s">
        <v>2</v>
      </c>
      <c r="K30" s="6"/>
      <c r="L30" s="6"/>
      <c r="M30" s="6" t="s">
        <v>70</v>
      </c>
      <c r="N30" s="6"/>
      <c r="O30" s="6"/>
      <c r="P30" s="6" t="s">
        <v>42</v>
      </c>
      <c r="Q30" s="7"/>
    </row>
    <row r="31" spans="2:17" ht="18.75">
      <c r="B31" s="19"/>
      <c r="C31" s="6"/>
      <c r="D31" s="78" t="s">
        <v>49</v>
      </c>
      <c r="E31" s="78"/>
      <c r="F31" s="6"/>
      <c r="G31" s="18" t="str">
        <f>IF(C15&lt;G27,"visibili","non visibili")</f>
        <v>visibili</v>
      </c>
      <c r="H31" s="6"/>
      <c r="I31" s="17">
        <f>C14-G27</f>
        <v>-17188.58573519357</v>
      </c>
      <c r="J31" s="6" t="s">
        <v>2</v>
      </c>
      <c r="K31" s="6"/>
      <c r="L31" s="6"/>
      <c r="M31" s="6" t="s">
        <v>71</v>
      </c>
      <c r="N31" s="6"/>
      <c r="O31" s="6"/>
      <c r="P31" s="6" t="s">
        <v>45</v>
      </c>
      <c r="Q31" s="7"/>
    </row>
    <row r="32" spans="2:17" ht="15">
      <c r="B32" s="19"/>
      <c r="C32" s="6"/>
      <c r="D32" s="6"/>
      <c r="E32" s="6"/>
      <c r="F32" s="6"/>
      <c r="G32" s="6"/>
      <c r="H32" s="6"/>
      <c r="I32" s="54"/>
      <c r="J32" s="6"/>
      <c r="K32" s="6"/>
      <c r="L32" s="6"/>
      <c r="M32" s="6"/>
      <c r="N32" s="6"/>
      <c r="O32" s="6"/>
      <c r="P32" s="6"/>
      <c r="Q32" s="7"/>
    </row>
    <row r="33" spans="2:17" ht="15.75">
      <c r="B33" s="84" t="s">
        <v>72</v>
      </c>
      <c r="C33" s="85"/>
      <c r="D33" s="85"/>
      <c r="E33" s="85"/>
      <c r="F33" s="85"/>
      <c r="G33" s="86"/>
      <c r="H33" s="6"/>
      <c r="I33" s="55"/>
      <c r="J33" s="6"/>
      <c r="K33" s="6"/>
      <c r="L33" s="6"/>
      <c r="M33" s="6"/>
      <c r="N33" s="6"/>
      <c r="O33" s="6"/>
      <c r="P33" s="6"/>
      <c r="Q33" s="7"/>
    </row>
    <row r="34" spans="2:17" ht="15">
      <c r="B34" s="56"/>
      <c r="C34" s="57"/>
      <c r="D34" s="57"/>
      <c r="E34" s="57"/>
      <c r="F34" s="57"/>
      <c r="G34" s="58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2:17" ht="18">
      <c r="B35" s="59" t="s">
        <v>73</v>
      </c>
      <c r="C35" s="60">
        <f>COS(K6)*COS(K7)-COS(E6)*COS(E7)</f>
        <v>-0.010995421004821981</v>
      </c>
      <c r="D35" s="57" t="s">
        <v>2</v>
      </c>
      <c r="E35" s="61" t="s">
        <v>74</v>
      </c>
      <c r="F35" s="57"/>
      <c r="G35" s="58"/>
      <c r="H35" s="62"/>
      <c r="I35" s="17"/>
      <c r="J35" s="6"/>
      <c r="K35" s="6"/>
      <c r="L35" s="6"/>
      <c r="M35" s="6"/>
      <c r="N35" s="6"/>
      <c r="O35" s="6"/>
      <c r="P35" s="6"/>
      <c r="Q35" s="7"/>
    </row>
    <row r="36" spans="2:17" ht="18">
      <c r="B36" s="63" t="s">
        <v>75</v>
      </c>
      <c r="C36" s="60">
        <f>COS(K6)*SIN(K7)-COS(E6)*SIN(E7)</f>
        <v>0.03212628502436213</v>
      </c>
      <c r="D36" s="57" t="s">
        <v>2</v>
      </c>
      <c r="E36" s="61" t="s">
        <v>76</v>
      </c>
      <c r="F36" s="57"/>
      <c r="G36" s="58"/>
      <c r="H36" s="62"/>
      <c r="I36" s="64"/>
      <c r="J36" s="6"/>
      <c r="K36" s="6"/>
      <c r="L36" s="6"/>
      <c r="M36" s="6"/>
      <c r="N36" s="6"/>
      <c r="O36" s="6"/>
      <c r="P36" s="6"/>
      <c r="Q36" s="7"/>
    </row>
    <row r="37" spans="2:17" ht="18">
      <c r="B37" s="63" t="s">
        <v>77</v>
      </c>
      <c r="C37" s="60">
        <f>SIN(K6)-SIN(E6)</f>
        <v>0.016818310714478424</v>
      </c>
      <c r="D37" s="57" t="s">
        <v>2</v>
      </c>
      <c r="E37" s="61" t="s">
        <v>78</v>
      </c>
      <c r="F37" s="57"/>
      <c r="G37" s="58"/>
      <c r="H37" s="62"/>
      <c r="I37" s="6"/>
      <c r="J37" s="6"/>
      <c r="K37" s="6"/>
      <c r="L37" s="6"/>
      <c r="M37" s="6"/>
      <c r="N37" s="6"/>
      <c r="O37" s="6"/>
      <c r="P37" s="6"/>
      <c r="Q37" s="7"/>
    </row>
    <row r="38" spans="2:17" ht="15">
      <c r="B38" s="56"/>
      <c r="C38" s="57"/>
      <c r="D38" s="57"/>
      <c r="E38" s="57"/>
      <c r="F38" s="57"/>
      <c r="G38" s="58"/>
      <c r="H38" s="6"/>
      <c r="I38" s="65"/>
      <c r="J38" s="6"/>
      <c r="K38" s="6"/>
      <c r="L38" s="6"/>
      <c r="M38" s="6"/>
      <c r="N38" s="6"/>
      <c r="O38" s="6"/>
      <c r="P38" s="6"/>
      <c r="Q38" s="7"/>
    </row>
    <row r="39" spans="2:17" ht="17.25">
      <c r="B39" s="56"/>
      <c r="C39" s="60">
        <f>SQRT(C35^2+C36^2+C37^2)</f>
        <v>0.0378926516336423</v>
      </c>
      <c r="D39" s="66" t="s">
        <v>6</v>
      </c>
      <c r="E39" s="57" t="s">
        <v>79</v>
      </c>
      <c r="F39" s="57"/>
      <c r="G39" s="58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2:17" ht="15">
      <c r="B40" s="56"/>
      <c r="C40" s="57"/>
      <c r="D40" s="57"/>
      <c r="E40" s="57"/>
      <c r="F40" s="57"/>
      <c r="G40" s="58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2:17" ht="15">
      <c r="B41" s="67" t="s">
        <v>32</v>
      </c>
      <c r="C41" s="60">
        <f>2*ASIN(C39/2)</f>
        <v>0.037894919011557913</v>
      </c>
      <c r="D41" s="66" t="s">
        <v>6</v>
      </c>
      <c r="E41" s="57" t="s">
        <v>80</v>
      </c>
      <c r="F41" s="57"/>
      <c r="G41" s="58"/>
      <c r="H41" s="6"/>
      <c r="I41" s="6"/>
      <c r="J41" s="6"/>
      <c r="K41" s="6"/>
      <c r="L41" s="6"/>
      <c r="M41" s="6"/>
      <c r="N41" s="6"/>
      <c r="O41" s="6"/>
      <c r="P41" s="6"/>
      <c r="Q41" s="7"/>
    </row>
    <row r="42" spans="2:17" ht="15">
      <c r="B42" s="56"/>
      <c r="C42" s="57"/>
      <c r="D42" s="57"/>
      <c r="E42" s="57"/>
      <c r="F42" s="57"/>
      <c r="G42" s="58"/>
      <c r="H42" s="6"/>
      <c r="I42" s="6"/>
      <c r="J42" s="6"/>
      <c r="K42" s="6"/>
      <c r="L42" s="6"/>
      <c r="M42" s="6"/>
      <c r="N42" s="6"/>
      <c r="O42" s="6"/>
      <c r="P42" s="6"/>
      <c r="Q42" s="7"/>
    </row>
    <row r="43" spans="2:17" ht="18.75">
      <c r="B43" s="68" t="s">
        <v>64</v>
      </c>
      <c r="C43" s="69">
        <f>C3*C41</f>
        <v>241428.52902263546</v>
      </c>
      <c r="D43" s="70" t="s">
        <v>2</v>
      </c>
      <c r="E43" s="70" t="s">
        <v>81</v>
      </c>
      <c r="F43" s="70"/>
      <c r="G43" s="71"/>
      <c r="H43" s="35"/>
      <c r="I43" s="35"/>
      <c r="J43" s="35"/>
      <c r="K43" s="35"/>
      <c r="L43" s="35"/>
      <c r="M43" s="35"/>
      <c r="N43" s="35"/>
      <c r="O43" s="36"/>
      <c r="P43" s="35"/>
      <c r="Q43" s="39"/>
    </row>
    <row r="44" ht="15">
      <c r="O44" s="72"/>
    </row>
  </sheetData>
  <sheetProtection password="CE90" sheet="1" objects="1" scenarios="1" selectLockedCells="1"/>
  <mergeCells count="5">
    <mergeCell ref="N2:Q2"/>
    <mergeCell ref="B33:G33"/>
    <mergeCell ref="B2:C2"/>
    <mergeCell ref="D30:E30"/>
    <mergeCell ref="D31:E3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3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2" width="9.140625" style="28" customWidth="1"/>
    <col min="3" max="3" width="15.7109375" style="28" customWidth="1"/>
    <col min="4" max="4" width="9.140625" style="28" customWidth="1"/>
    <col min="5" max="5" width="15.7109375" style="28" customWidth="1"/>
    <col min="6" max="6" width="9.140625" style="28" customWidth="1"/>
    <col min="7" max="7" width="15.7109375" style="28" customWidth="1"/>
    <col min="8" max="8" width="9.140625" style="28" customWidth="1"/>
    <col min="9" max="9" width="15.7109375" style="28" customWidth="1"/>
    <col min="10" max="10" width="9.140625" style="28" customWidth="1"/>
    <col min="11" max="11" width="15.7109375" style="28" customWidth="1"/>
    <col min="12" max="14" width="9.140625" style="28" customWidth="1"/>
    <col min="15" max="15" width="15.7109375" style="28" customWidth="1"/>
    <col min="16" max="19" width="9.140625" style="28" customWidth="1"/>
    <col min="20" max="21" width="15.7109375" style="28" customWidth="1"/>
    <col min="22" max="16384" width="9.140625" style="28" customWidth="1"/>
  </cols>
  <sheetData>
    <row r="2" spans="2:25" ht="15">
      <c r="B2" s="77" t="s">
        <v>91</v>
      </c>
      <c r="C2" s="77"/>
      <c r="D2" s="1"/>
      <c r="E2" s="1"/>
      <c r="F2" s="1"/>
      <c r="G2" s="1"/>
      <c r="H2" s="1"/>
      <c r="I2" s="1"/>
      <c r="J2" s="1"/>
      <c r="K2" s="1"/>
      <c r="L2" s="1"/>
      <c r="M2" s="1"/>
      <c r="N2" s="76" t="s">
        <v>108</v>
      </c>
      <c r="O2" s="76"/>
      <c r="P2" s="76"/>
      <c r="Q2" s="76"/>
      <c r="R2" s="1"/>
      <c r="S2" s="1"/>
      <c r="T2" s="1"/>
      <c r="U2" s="1"/>
      <c r="V2" s="1"/>
      <c r="W2" s="1"/>
      <c r="X2" s="1"/>
      <c r="Y2" s="1"/>
    </row>
    <row r="3" spans="2:25" ht="15">
      <c r="B3" s="2" t="s">
        <v>1</v>
      </c>
      <c r="C3" s="47">
        <v>6378137</v>
      </c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1"/>
      <c r="S3" s="1"/>
      <c r="T3" s="1"/>
      <c r="U3" s="1"/>
      <c r="V3" s="1"/>
      <c r="W3" s="1"/>
      <c r="X3" s="1"/>
      <c r="Y3" s="1"/>
    </row>
    <row r="4" spans="2:25" ht="17.25">
      <c r="B4" s="5" t="s">
        <v>3</v>
      </c>
      <c r="C4" s="48">
        <v>0.00669438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1"/>
      <c r="S4" s="1"/>
      <c r="T4" s="1"/>
      <c r="U4" s="1"/>
      <c r="V4" s="1"/>
      <c r="W4" s="1"/>
      <c r="X4" s="1"/>
      <c r="Y4" s="1"/>
    </row>
    <row r="5" spans="2:25" ht="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1"/>
      <c r="S5" s="1"/>
      <c r="T5" s="1"/>
      <c r="U5" s="1"/>
      <c r="V5" s="1"/>
      <c r="W5" s="1"/>
      <c r="X5" s="1"/>
      <c r="Y5" s="1"/>
    </row>
    <row r="6" spans="2:25" ht="17.25">
      <c r="B6" s="8" t="s">
        <v>4</v>
      </c>
      <c r="C6" s="48">
        <v>15</v>
      </c>
      <c r="D6" s="6" t="s">
        <v>5</v>
      </c>
      <c r="E6" s="9">
        <f>RADIANS(C6)</f>
        <v>0.2617993877991494</v>
      </c>
      <c r="F6" s="10" t="s">
        <v>6</v>
      </c>
      <c r="G6" s="6"/>
      <c r="H6" s="11" t="s">
        <v>7</v>
      </c>
      <c r="I6" s="48">
        <v>15</v>
      </c>
      <c r="J6" s="6" t="s">
        <v>5</v>
      </c>
      <c r="K6" s="12">
        <f>RADIANS(I6)</f>
        <v>0.2617993877991494</v>
      </c>
      <c r="L6" s="10" t="s">
        <v>6</v>
      </c>
      <c r="M6" s="6"/>
      <c r="N6" s="13" t="s">
        <v>8</v>
      </c>
      <c r="O6" s="12">
        <f>E6-K6</f>
        <v>0</v>
      </c>
      <c r="P6" s="10" t="s">
        <v>6</v>
      </c>
      <c r="Q6" s="7"/>
      <c r="R6" s="1"/>
      <c r="S6" s="1"/>
      <c r="T6" s="1"/>
      <c r="U6" s="1"/>
      <c r="V6" s="1"/>
      <c r="W6" s="1"/>
      <c r="X6" s="1"/>
      <c r="Y6" s="1"/>
    </row>
    <row r="7" spans="2:25" ht="17.25">
      <c r="B7" s="14" t="s">
        <v>9</v>
      </c>
      <c r="C7" s="48">
        <v>10</v>
      </c>
      <c r="D7" s="6" t="s">
        <v>5</v>
      </c>
      <c r="E7" s="9">
        <f>RADIANS(C7)</f>
        <v>0.17453292519943295</v>
      </c>
      <c r="F7" s="10" t="s">
        <v>6</v>
      </c>
      <c r="G7" s="6"/>
      <c r="H7" s="13" t="s">
        <v>10</v>
      </c>
      <c r="I7" s="48">
        <v>10</v>
      </c>
      <c r="J7" s="6" t="s">
        <v>5</v>
      </c>
      <c r="K7" s="12">
        <f>RADIANS(I7)</f>
        <v>0.17453292519943295</v>
      </c>
      <c r="L7" s="10" t="s">
        <v>6</v>
      </c>
      <c r="M7" s="6"/>
      <c r="N7" s="13" t="s">
        <v>11</v>
      </c>
      <c r="O7" s="12">
        <f>E7-K7</f>
        <v>0</v>
      </c>
      <c r="P7" s="10" t="s">
        <v>6</v>
      </c>
      <c r="Q7" s="7"/>
      <c r="R7" s="1"/>
      <c r="S7" s="1"/>
      <c r="T7" s="1"/>
      <c r="U7" s="1"/>
      <c r="V7" s="1"/>
      <c r="W7" s="1"/>
      <c r="X7" s="1"/>
      <c r="Y7" s="1"/>
    </row>
    <row r="8" spans="2:25" ht="15">
      <c r="B8" s="14" t="s">
        <v>12</v>
      </c>
      <c r="C8" s="48">
        <v>2000</v>
      </c>
      <c r="D8" s="6" t="s">
        <v>2</v>
      </c>
      <c r="E8" s="6"/>
      <c r="F8" s="6"/>
      <c r="G8" s="6"/>
      <c r="H8" s="13" t="s">
        <v>13</v>
      </c>
      <c r="I8" s="48">
        <v>2000</v>
      </c>
      <c r="J8" s="6" t="s">
        <v>2</v>
      </c>
      <c r="K8" s="6"/>
      <c r="L8" s="6"/>
      <c r="M8" s="6"/>
      <c r="N8" s="6"/>
      <c r="O8" s="6"/>
      <c r="P8" s="6"/>
      <c r="Q8" s="7"/>
      <c r="R8" s="1"/>
      <c r="S8" s="1"/>
      <c r="T8" s="1"/>
      <c r="U8" s="1"/>
      <c r="V8" s="1"/>
      <c r="W8" s="1"/>
      <c r="X8" s="1"/>
      <c r="Y8" s="1"/>
    </row>
    <row r="9" spans="2:25" ht="15">
      <c r="B9" s="15"/>
      <c r="C9" s="6"/>
      <c r="D9" s="6"/>
      <c r="E9" s="6"/>
      <c r="F9" s="6"/>
      <c r="G9" s="6"/>
      <c r="H9" s="16"/>
      <c r="I9" s="6"/>
      <c r="J9" s="6"/>
      <c r="K9" s="6"/>
      <c r="L9" s="6"/>
      <c r="M9" s="6"/>
      <c r="N9" s="6"/>
      <c r="O9" s="6"/>
      <c r="P9" s="6"/>
      <c r="Q9" s="7"/>
      <c r="R9" s="1"/>
      <c r="S9" s="1"/>
      <c r="T9" s="1"/>
      <c r="U9" s="1"/>
      <c r="V9" s="1"/>
      <c r="W9" s="1"/>
      <c r="X9" s="1"/>
      <c r="Y9" s="1"/>
    </row>
    <row r="10" spans="2:25" ht="17.25">
      <c r="B10" s="15" t="s">
        <v>14</v>
      </c>
      <c r="C10" s="17">
        <f>C3/(SQRT(1-C4*SIN(E6)^2))</f>
        <v>6379567.582031131</v>
      </c>
      <c r="D10" s="6" t="s">
        <v>2</v>
      </c>
      <c r="E10" s="6"/>
      <c r="F10" s="6"/>
      <c r="G10" s="6"/>
      <c r="H10" s="16" t="s">
        <v>15</v>
      </c>
      <c r="I10" s="17">
        <f>C3/(SQRT(1-C4*SIN(K6)^2))</f>
        <v>6379567.582031131</v>
      </c>
      <c r="J10" s="6" t="s">
        <v>2</v>
      </c>
      <c r="K10" s="6"/>
      <c r="L10" s="6"/>
      <c r="M10" s="6" t="s">
        <v>95</v>
      </c>
      <c r="N10" s="6"/>
      <c r="O10" s="6"/>
      <c r="P10" s="6"/>
      <c r="Q10" s="7"/>
      <c r="R10" s="1"/>
      <c r="S10" s="1"/>
      <c r="T10" s="1"/>
      <c r="U10" s="1"/>
      <c r="V10" s="1"/>
      <c r="W10" s="1"/>
      <c r="X10" s="1"/>
      <c r="Y10" s="1"/>
    </row>
    <row r="11" spans="2:25" ht="18">
      <c r="B11" s="73" t="s">
        <v>92</v>
      </c>
      <c r="C11" s="17">
        <f>(C3*(1-C4))/(1-C4*SIN(E6)^2)^1.5</f>
        <v>6339703.298987199</v>
      </c>
      <c r="D11" s="6" t="s">
        <v>2</v>
      </c>
      <c r="E11" s="6"/>
      <c r="F11" s="6"/>
      <c r="G11" s="6"/>
      <c r="H11" s="74" t="s">
        <v>93</v>
      </c>
      <c r="I11" s="17">
        <f>(C3*(1-C4))/(1-I4*SIN(I6)^2)^1.5</f>
        <v>6335439.32722994</v>
      </c>
      <c r="J11" s="28" t="s">
        <v>2</v>
      </c>
      <c r="K11" s="6"/>
      <c r="L11" s="6"/>
      <c r="M11" s="75" t="s">
        <v>96</v>
      </c>
      <c r="N11" s="6"/>
      <c r="O11" s="6"/>
      <c r="P11" s="6"/>
      <c r="Q11" s="7"/>
      <c r="R11" s="1"/>
      <c r="S11" s="1"/>
      <c r="T11" s="1"/>
      <c r="U11" s="1"/>
      <c r="V11" s="1"/>
      <c r="W11" s="1"/>
      <c r="X11" s="1"/>
      <c r="Y11" s="1"/>
    </row>
    <row r="12" spans="2:25" ht="18">
      <c r="B12" s="15" t="s">
        <v>99</v>
      </c>
      <c r="C12" s="17">
        <f>SQRT(C10*C11)</f>
        <v>6359604.205130579</v>
      </c>
      <c r="D12" s="28" t="s">
        <v>2</v>
      </c>
      <c r="E12" s="6"/>
      <c r="F12" s="6"/>
      <c r="G12" s="6"/>
      <c r="H12" s="16" t="s">
        <v>100</v>
      </c>
      <c r="I12" s="17">
        <f>SQRT(I10*I11)</f>
        <v>6357465.167023823</v>
      </c>
      <c r="J12" s="28" t="s">
        <v>2</v>
      </c>
      <c r="K12" s="6"/>
      <c r="L12" s="6"/>
      <c r="M12" s="6" t="s">
        <v>94</v>
      </c>
      <c r="N12" s="6"/>
      <c r="O12" s="6"/>
      <c r="P12" s="6"/>
      <c r="Q12" s="7"/>
      <c r="R12" s="1"/>
      <c r="S12" s="1"/>
      <c r="T12" s="1"/>
      <c r="U12" s="1"/>
      <c r="V12" s="1"/>
      <c r="W12" s="1"/>
      <c r="X12" s="1"/>
      <c r="Y12" s="1"/>
    </row>
    <row r="13" spans="2:25" ht="18">
      <c r="B13" s="15" t="s">
        <v>101</v>
      </c>
      <c r="C13" s="17">
        <f>7/6*C12</f>
        <v>7419538.23931901</v>
      </c>
      <c r="D13" s="28" t="s">
        <v>2</v>
      </c>
      <c r="E13" s="6"/>
      <c r="F13" s="6"/>
      <c r="G13" s="6"/>
      <c r="H13" s="16" t="s">
        <v>102</v>
      </c>
      <c r="I13" s="17">
        <f>7/6*I12</f>
        <v>7417042.694861127</v>
      </c>
      <c r="J13" s="28" t="s">
        <v>2</v>
      </c>
      <c r="K13" s="6"/>
      <c r="L13" s="6"/>
      <c r="M13" s="6" t="s">
        <v>103</v>
      </c>
      <c r="N13" s="6"/>
      <c r="O13" s="6"/>
      <c r="P13" s="6"/>
      <c r="Q13" s="7"/>
      <c r="R13" s="1"/>
      <c r="S13" s="1"/>
      <c r="T13" s="1"/>
      <c r="U13" s="1"/>
      <c r="V13" s="1"/>
      <c r="W13" s="1"/>
      <c r="X13" s="1"/>
      <c r="Y13" s="1"/>
    </row>
    <row r="14" spans="2:25" ht="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1"/>
      <c r="S14" s="1"/>
      <c r="T14" s="1"/>
      <c r="U14" s="1"/>
      <c r="V14" s="1"/>
      <c r="W14" s="1"/>
      <c r="X14" s="1"/>
      <c r="Y14" s="1"/>
    </row>
    <row r="15" spans="2:25" ht="15">
      <c r="B15" s="5" t="s">
        <v>23</v>
      </c>
      <c r="C15" s="17">
        <f>(C10+C8)*COS(E6)*COS(E7)</f>
        <v>6070474.091914516</v>
      </c>
      <c r="D15" s="6" t="s">
        <v>2</v>
      </c>
      <c r="E15" s="6"/>
      <c r="F15" s="6"/>
      <c r="G15" s="6"/>
      <c r="H15" s="18" t="s">
        <v>24</v>
      </c>
      <c r="I15" s="17">
        <f>(I10+I8)*COS(K6)*COS(K7)</f>
        <v>6070474.091914516</v>
      </c>
      <c r="J15" s="6" t="s">
        <v>2</v>
      </c>
      <c r="K15" s="6"/>
      <c r="L15" s="6"/>
      <c r="M15" s="6" t="s">
        <v>25</v>
      </c>
      <c r="N15" s="6"/>
      <c r="O15" s="6"/>
      <c r="P15" s="6"/>
      <c r="Q15" s="7"/>
      <c r="R15" s="1"/>
      <c r="S15" s="1"/>
      <c r="T15" s="1"/>
      <c r="U15" s="1"/>
      <c r="V15" s="1"/>
      <c r="W15" s="1"/>
      <c r="X15" s="1"/>
      <c r="Y15" s="1"/>
    </row>
    <row r="16" spans="2:25" ht="15">
      <c r="B16" s="5" t="s">
        <v>26</v>
      </c>
      <c r="C16" s="17">
        <f>(C10+C8)*COS(E6)*SIN(E7)</f>
        <v>1070388.3680962473</v>
      </c>
      <c r="D16" s="6" t="s">
        <v>2</v>
      </c>
      <c r="E16" s="6"/>
      <c r="F16" s="6"/>
      <c r="G16" s="6"/>
      <c r="H16" s="18" t="s">
        <v>27</v>
      </c>
      <c r="I16" s="17">
        <f>(I10+I8)*COS(K6)*SIN(K7)</f>
        <v>1070388.3680962473</v>
      </c>
      <c r="J16" s="6" t="s">
        <v>2</v>
      </c>
      <c r="K16" s="6"/>
      <c r="L16" s="6"/>
      <c r="M16" s="6" t="s">
        <v>28</v>
      </c>
      <c r="N16" s="6"/>
      <c r="O16" s="6"/>
      <c r="P16" s="6"/>
      <c r="Q16" s="7"/>
      <c r="R16" s="1"/>
      <c r="S16" s="1"/>
      <c r="T16" s="1"/>
      <c r="U16" s="1"/>
      <c r="V16" s="1"/>
      <c r="W16" s="1"/>
      <c r="X16" s="1"/>
      <c r="Y16" s="1"/>
    </row>
    <row r="17" spans="2:25" ht="17.25">
      <c r="B17" s="5" t="s">
        <v>29</v>
      </c>
      <c r="C17" s="17">
        <f>(C10*(1-C4)+C8)*SIN(E6)</f>
        <v>1640617.7782703603</v>
      </c>
      <c r="D17" s="6" t="s">
        <v>2</v>
      </c>
      <c r="E17" s="6"/>
      <c r="F17" s="6"/>
      <c r="G17" s="6"/>
      <c r="H17" s="18" t="s">
        <v>30</v>
      </c>
      <c r="I17" s="17">
        <f>(I10*(1-C4)+I8)*SIN(K6)</f>
        <v>1640617.7782703603</v>
      </c>
      <c r="J17" s="6" t="s">
        <v>2</v>
      </c>
      <c r="K17" s="6"/>
      <c r="L17" s="6"/>
      <c r="M17" s="6" t="s">
        <v>31</v>
      </c>
      <c r="N17" s="6"/>
      <c r="O17" s="6"/>
      <c r="P17" s="6"/>
      <c r="Q17" s="7"/>
      <c r="R17" s="1"/>
      <c r="S17" s="1"/>
      <c r="T17" s="1"/>
      <c r="U17" s="1"/>
      <c r="V17" s="1"/>
      <c r="W17" s="1"/>
      <c r="X17" s="1"/>
      <c r="Y17" s="1"/>
    </row>
    <row r="18" spans="2:25" ht="15">
      <c r="B18" s="19"/>
      <c r="C18" s="6"/>
      <c r="D18" s="6"/>
      <c r="E18" s="6"/>
      <c r="F18" s="6"/>
      <c r="G18" s="6"/>
      <c r="H18" s="6"/>
      <c r="I18" s="20"/>
      <c r="J18" s="6"/>
      <c r="K18" s="6"/>
      <c r="L18" s="6"/>
      <c r="M18" s="6"/>
      <c r="N18" s="6"/>
      <c r="O18" s="6"/>
      <c r="P18" s="6"/>
      <c r="Q18" s="7"/>
      <c r="R18" s="1"/>
      <c r="S18" s="1"/>
      <c r="T18" s="1"/>
      <c r="U18" s="1"/>
      <c r="V18" s="1"/>
      <c r="W18" s="1"/>
      <c r="X18" s="1"/>
      <c r="Y18" s="1"/>
    </row>
    <row r="19" spans="2:25" ht="18">
      <c r="B19" s="21" t="s">
        <v>82</v>
      </c>
      <c r="C19" s="17">
        <f>SQRT((C15-I15)^2+(C16-I16)^2+(C17-I17)^2)</f>
        <v>0</v>
      </c>
      <c r="D19" s="6" t="s">
        <v>2</v>
      </c>
      <c r="E19" s="6"/>
      <c r="F19" s="6"/>
      <c r="G19" s="6"/>
      <c r="H19" s="6"/>
      <c r="I19" s="6"/>
      <c r="J19" s="6"/>
      <c r="K19" s="6"/>
      <c r="L19" s="6"/>
      <c r="M19" s="6" t="s">
        <v>83</v>
      </c>
      <c r="N19" s="6"/>
      <c r="O19" s="6"/>
      <c r="P19" s="6"/>
      <c r="Q19" s="7"/>
      <c r="R19" s="1"/>
      <c r="S19" s="1"/>
      <c r="T19" s="1"/>
      <c r="U19" s="1"/>
      <c r="V19" s="1"/>
      <c r="W19" s="1"/>
      <c r="X19" s="1"/>
      <c r="Y19" s="1"/>
    </row>
    <row r="20" spans="2:25" ht="15">
      <c r="B20" s="19"/>
      <c r="C20" s="6"/>
      <c r="D20" s="6"/>
      <c r="E20" s="6"/>
      <c r="F20" s="6"/>
      <c r="G20" s="6"/>
      <c r="H20" s="6"/>
      <c r="I20" s="6"/>
      <c r="J20" s="1"/>
      <c r="K20" s="6"/>
      <c r="L20" s="6"/>
      <c r="M20" s="6"/>
      <c r="N20" s="6"/>
      <c r="O20" s="6"/>
      <c r="P20" s="6"/>
      <c r="Q20" s="7"/>
      <c r="R20" s="1"/>
      <c r="S20" s="1"/>
      <c r="T20" s="1"/>
      <c r="U20" s="1"/>
      <c r="V20" s="1"/>
      <c r="W20" s="1"/>
      <c r="X20" s="1"/>
      <c r="Y20" s="1"/>
    </row>
    <row r="21" spans="2:25" ht="18">
      <c r="B21" s="5" t="s">
        <v>32</v>
      </c>
      <c r="C21" s="22">
        <f>2*ASIN(SQRT(SIN(O6/2)^2+COS(E6)*COS(K6)*SIN(O7/2)^2))</f>
        <v>0</v>
      </c>
      <c r="D21" s="23" t="s">
        <v>6</v>
      </c>
      <c r="E21" s="20"/>
      <c r="F21" s="6"/>
      <c r="G21" s="6"/>
      <c r="H21" s="6"/>
      <c r="I21" s="6"/>
      <c r="J21" s="6"/>
      <c r="K21" s="6"/>
      <c r="L21" s="6"/>
      <c r="M21" s="6" t="s">
        <v>33</v>
      </c>
      <c r="N21" s="6"/>
      <c r="O21" s="6"/>
      <c r="P21" s="6"/>
      <c r="Q21" s="7"/>
      <c r="R21" s="1"/>
      <c r="S21" s="1"/>
      <c r="T21" s="1"/>
      <c r="U21" s="1"/>
      <c r="V21" s="1"/>
      <c r="W21" s="1"/>
      <c r="X21" s="1"/>
      <c r="Y21" s="1"/>
    </row>
    <row r="22" spans="2:25" ht="15">
      <c r="B22" s="19"/>
      <c r="C22" s="2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1"/>
      <c r="S22" s="1"/>
      <c r="T22" s="1"/>
      <c r="U22" s="1"/>
      <c r="V22" s="1"/>
      <c r="W22" s="1"/>
      <c r="X22" s="1"/>
      <c r="Y22" s="1"/>
    </row>
    <row r="23" spans="2:25" ht="18">
      <c r="B23" s="5" t="s">
        <v>34</v>
      </c>
      <c r="C23" s="17">
        <f>SQRT((2*C12*C8)+C8^2)</f>
        <v>159506.7923961933</v>
      </c>
      <c r="D23" s="6" t="s">
        <v>2</v>
      </c>
      <c r="E23" s="6"/>
      <c r="F23" s="6"/>
      <c r="G23" s="6"/>
      <c r="H23" s="18" t="s">
        <v>35</v>
      </c>
      <c r="I23" s="17">
        <f>SQRT((2*I12*I8)+I8^2)</f>
        <v>159479.96948863292</v>
      </c>
      <c r="J23" s="6" t="s">
        <v>2</v>
      </c>
      <c r="K23" s="6"/>
      <c r="L23" s="6"/>
      <c r="M23" s="6" t="s">
        <v>97</v>
      </c>
      <c r="N23" s="6"/>
      <c r="O23" s="6"/>
      <c r="P23" s="6"/>
      <c r="Q23" s="7"/>
      <c r="R23" s="1"/>
      <c r="S23" s="1"/>
      <c r="T23" s="1"/>
      <c r="U23" s="1"/>
      <c r="V23" s="1"/>
      <c r="W23" s="1"/>
      <c r="X23" s="1"/>
      <c r="Y23" s="1"/>
    </row>
    <row r="24" spans="2:25" ht="18">
      <c r="B24" s="5" t="s">
        <v>37</v>
      </c>
      <c r="C24" s="17">
        <f>SQRT((2*C13*C8)+C8^2)</f>
        <v>172285.09209236893</v>
      </c>
      <c r="D24" s="6" t="s">
        <v>2</v>
      </c>
      <c r="E24" s="6"/>
      <c r="F24" s="6"/>
      <c r="G24" s="6"/>
      <c r="H24" s="18" t="s">
        <v>38</v>
      </c>
      <c r="I24" s="17">
        <f>SQRT((2*I13*I8)+I8^2)</f>
        <v>172256.11971551116</v>
      </c>
      <c r="J24" s="6" t="s">
        <v>2</v>
      </c>
      <c r="K24" s="6"/>
      <c r="L24" s="6"/>
      <c r="M24" s="6" t="s">
        <v>104</v>
      </c>
      <c r="N24" s="6"/>
      <c r="O24" s="6"/>
      <c r="P24" s="6"/>
      <c r="Q24" s="7"/>
      <c r="R24" s="1"/>
      <c r="S24" s="1"/>
      <c r="T24" s="1"/>
      <c r="U24" s="1"/>
      <c r="V24" s="1"/>
      <c r="W24" s="1"/>
      <c r="X24" s="1"/>
      <c r="Y24" s="1"/>
    </row>
    <row r="25" spans="2:25" ht="18.75">
      <c r="B25" s="19"/>
      <c r="C25" s="6"/>
      <c r="D25" s="25"/>
      <c r="E25" s="18" t="s">
        <v>40</v>
      </c>
      <c r="F25" s="26"/>
      <c r="G25" s="27">
        <f>C23+I23</f>
        <v>318986.76188482624</v>
      </c>
      <c r="H25" s="6" t="s">
        <v>2</v>
      </c>
      <c r="I25" s="6"/>
      <c r="J25" s="6"/>
      <c r="K25" s="6"/>
      <c r="L25" s="6"/>
      <c r="M25" s="6" t="s">
        <v>98</v>
      </c>
      <c r="N25" s="6"/>
      <c r="O25" s="6"/>
      <c r="P25" s="6" t="s">
        <v>42</v>
      </c>
      <c r="Q25" s="7"/>
      <c r="R25" s="1"/>
      <c r="S25" s="1"/>
      <c r="T25" s="1"/>
      <c r="U25" s="1"/>
      <c r="V25" s="1"/>
      <c r="W25" s="1"/>
      <c r="X25" s="1"/>
      <c r="Y25" s="1"/>
    </row>
    <row r="26" spans="2:25" ht="18.75">
      <c r="B26" s="19"/>
      <c r="C26" s="6"/>
      <c r="D26" s="6"/>
      <c r="E26" s="18" t="s">
        <v>43</v>
      </c>
      <c r="F26" s="26"/>
      <c r="G26" s="27">
        <f>C24+I24</f>
        <v>344541.2118078801</v>
      </c>
      <c r="H26" s="28" t="s">
        <v>2</v>
      </c>
      <c r="I26" s="6"/>
      <c r="J26" s="6"/>
      <c r="K26" s="6"/>
      <c r="L26" s="6"/>
      <c r="M26" s="6" t="s">
        <v>105</v>
      </c>
      <c r="N26" s="6"/>
      <c r="O26" s="6"/>
      <c r="P26" s="6" t="s">
        <v>45</v>
      </c>
      <c r="Q26" s="7"/>
      <c r="R26" s="1"/>
      <c r="S26" s="1"/>
      <c r="T26" s="1"/>
      <c r="U26" s="1"/>
      <c r="V26" s="1"/>
      <c r="W26" s="1"/>
      <c r="X26" s="1"/>
      <c r="Y26" s="1"/>
    </row>
    <row r="27" spans="2:25" ht="15">
      <c r="B27" s="19"/>
      <c r="C27" s="6"/>
      <c r="D27" s="6"/>
      <c r="E27" s="18"/>
      <c r="F27" s="6"/>
      <c r="G27" s="17"/>
      <c r="H27" s="6"/>
      <c r="I27" s="6"/>
      <c r="J27" s="6"/>
      <c r="K27" s="6"/>
      <c r="L27" s="6"/>
      <c r="M27" s="6"/>
      <c r="N27" s="6"/>
      <c r="O27" s="6"/>
      <c r="P27" s="6"/>
      <c r="Q27" s="7"/>
      <c r="R27" s="1"/>
      <c r="S27" s="82" t="s">
        <v>84</v>
      </c>
      <c r="T27" s="82"/>
      <c r="U27" s="82"/>
      <c r="V27" s="82"/>
      <c r="W27" s="82"/>
      <c r="X27" s="82"/>
      <c r="Y27" s="82"/>
    </row>
    <row r="28" spans="2:25" ht="15">
      <c r="B28" s="19"/>
      <c r="C28" s="6"/>
      <c r="D28" s="6"/>
      <c r="E28" s="18"/>
      <c r="F28" s="6"/>
      <c r="G28" s="17"/>
      <c r="H28" s="6"/>
      <c r="I28" s="6"/>
      <c r="J28" s="6"/>
      <c r="K28" s="6"/>
      <c r="L28" s="6"/>
      <c r="M28" s="6" t="s">
        <v>46</v>
      </c>
      <c r="N28" s="6"/>
      <c r="O28" s="6"/>
      <c r="P28" s="6"/>
      <c r="Q28" s="7"/>
      <c r="R28" s="1"/>
      <c r="S28" s="29"/>
      <c r="T28" s="30" t="s">
        <v>1</v>
      </c>
      <c r="U28" s="30" t="s">
        <v>88</v>
      </c>
      <c r="V28" s="83" t="s">
        <v>90</v>
      </c>
      <c r="W28" s="83"/>
      <c r="X28" s="83"/>
      <c r="Y28" s="83"/>
    </row>
    <row r="29" spans="2:25" ht="18.75">
      <c r="B29" s="19"/>
      <c r="C29" s="17"/>
      <c r="D29" s="78" t="s">
        <v>47</v>
      </c>
      <c r="E29" s="78"/>
      <c r="F29" s="6"/>
      <c r="G29" s="18" t="str">
        <f>IF(C12&lt;G25,"visibili","non visibili")</f>
        <v>non visibili</v>
      </c>
      <c r="H29" s="6"/>
      <c r="I29" s="17">
        <f>C19-G25</f>
        <v>-318986.76188482624</v>
      </c>
      <c r="J29" s="6" t="s">
        <v>2</v>
      </c>
      <c r="K29" s="6"/>
      <c r="L29" s="6"/>
      <c r="M29" s="6" t="s">
        <v>106</v>
      </c>
      <c r="N29" s="6"/>
      <c r="O29" s="6"/>
      <c r="P29" s="6" t="s">
        <v>42</v>
      </c>
      <c r="Q29" s="7"/>
      <c r="R29" s="1"/>
      <c r="S29" s="31" t="s">
        <v>85</v>
      </c>
      <c r="T29" s="32">
        <v>6378388</v>
      </c>
      <c r="U29" s="33">
        <v>0.00672267</v>
      </c>
      <c r="V29" s="81" t="s">
        <v>86</v>
      </c>
      <c r="W29" s="81"/>
      <c r="X29" s="81"/>
      <c r="Y29" s="81"/>
    </row>
    <row r="30" spans="2:25" ht="18.75">
      <c r="B30" s="34"/>
      <c r="C30" s="35"/>
      <c r="D30" s="79" t="s">
        <v>49</v>
      </c>
      <c r="E30" s="79"/>
      <c r="F30" s="35"/>
      <c r="G30" s="37" t="str">
        <f>IF(C14&lt;G26,"visibili","non visibili")</f>
        <v>visibili</v>
      </c>
      <c r="H30" s="35"/>
      <c r="I30" s="38">
        <f>C19-G26</f>
        <v>-344541.2118078801</v>
      </c>
      <c r="J30" s="35" t="s">
        <v>2</v>
      </c>
      <c r="K30" s="35"/>
      <c r="L30" s="35"/>
      <c r="M30" s="35" t="s">
        <v>107</v>
      </c>
      <c r="N30" s="35"/>
      <c r="O30" s="35"/>
      <c r="P30" s="35" t="s">
        <v>45</v>
      </c>
      <c r="Q30" s="39"/>
      <c r="R30" s="1"/>
      <c r="S30" s="31" t="s">
        <v>87</v>
      </c>
      <c r="T30" s="32">
        <v>6378140</v>
      </c>
      <c r="U30" s="33">
        <v>0.00669438002</v>
      </c>
      <c r="V30" s="80" t="s">
        <v>89</v>
      </c>
      <c r="W30" s="80"/>
      <c r="X30" s="80"/>
      <c r="Y30" s="80"/>
    </row>
  </sheetData>
  <sheetProtection password="CE90" sheet="1" objects="1" scenarios="1" selectLockedCells="1"/>
  <mergeCells count="8">
    <mergeCell ref="D30:E30"/>
    <mergeCell ref="V30:Y30"/>
    <mergeCell ref="B2:C2"/>
    <mergeCell ref="N2:Q2"/>
    <mergeCell ref="S27:Y27"/>
    <mergeCell ref="V28:Y28"/>
    <mergeCell ref="D29:E29"/>
    <mergeCell ref="V29:Y2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2021-08-13T07:32:29Z</dcterms:created>
  <dcterms:modified xsi:type="dcterms:W3CDTF">2022-05-08T12:24:17Z</dcterms:modified>
  <cp:category/>
  <cp:version/>
  <cp:contentType/>
  <cp:contentStatus/>
</cp:coreProperties>
</file>