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6948" windowHeight="9312" activeTab="0"/>
  </bookViews>
  <sheets>
    <sheet name="Progetto muro di sostegn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Alunno</author>
    <author>Maria Angela Michelini</author>
  </authors>
  <commentList>
    <comment ref="G49" authorId="0">
      <text>
        <r>
          <rPr>
            <b/>
            <sz val="8"/>
            <rFont val="Tahoma"/>
            <family val="0"/>
          </rPr>
          <t>Distanza del baricentro della figura dal punto C di ribaltamento.</t>
        </r>
      </text>
    </comment>
    <comment ref="F49" authorId="0">
      <text>
        <r>
          <rPr>
            <b/>
            <sz val="8"/>
            <rFont val="Symbol"/>
            <family val="1"/>
          </rPr>
          <t>g</t>
        </r>
        <r>
          <rPr>
            <b/>
            <sz val="8"/>
            <rFont val="Tahoma"/>
            <family val="2"/>
          </rPr>
          <t xml:space="preserve"> muro x 1,00 x area
                     |
1 metro di profondità</t>
        </r>
      </text>
    </comment>
    <comment ref="H49" authorId="0">
      <text>
        <r>
          <rPr>
            <b/>
            <sz val="8"/>
            <rFont val="Tahoma"/>
            <family val="2"/>
          </rPr>
          <t>peso x ascissa</t>
        </r>
      </text>
    </comment>
    <comment ref="B7" authorId="1">
      <text>
        <r>
          <rPr>
            <sz val="8"/>
            <rFont val="Tahoma"/>
            <family val="0"/>
          </rPr>
          <t xml:space="preserve">angolo di natural declivio del terreno
</t>
        </r>
      </text>
    </comment>
    <comment ref="C7" authorId="1">
      <text>
        <r>
          <rPr>
            <sz val="8"/>
            <rFont val="Tahoma"/>
            <family val="0"/>
          </rPr>
          <t xml:space="preserve">Peso specifico del terreno
</t>
        </r>
      </text>
    </comment>
    <comment ref="D7" authorId="1">
      <text>
        <r>
          <rPr>
            <sz val="8"/>
            <rFont val="Tahoma"/>
            <family val="0"/>
          </rPr>
          <t xml:space="preserve">peso specifico del muro
</t>
        </r>
      </text>
    </comment>
    <comment ref="A21" authorId="1">
      <text>
        <r>
          <rPr>
            <sz val="8"/>
            <rFont val="Tahoma"/>
            <family val="0"/>
          </rPr>
          <t xml:space="preserve">coefficiente per il calcolo della capacità portante del terreno.
</t>
        </r>
      </text>
    </comment>
    <comment ref="A22" authorId="1">
      <text>
        <r>
          <rPr>
            <sz val="8"/>
            <rFont val="Tahoma"/>
            <family val="0"/>
          </rPr>
          <t xml:space="preserve">coefficiente di attrito terra-fondazione.
</t>
        </r>
      </text>
    </comment>
  </commentList>
</comments>
</file>

<file path=xl/sharedStrings.xml><?xml version="1.0" encoding="utf-8"?>
<sst xmlns="http://schemas.openxmlformats.org/spreadsheetml/2006/main" count="118" uniqueCount="79">
  <si>
    <t>q</t>
  </si>
  <si>
    <r>
      <t>g</t>
    </r>
    <r>
      <rPr>
        <b/>
        <vertAlign val="subscript"/>
        <sz val="10"/>
        <rFont val="Arial"/>
        <family val="2"/>
      </rPr>
      <t>t</t>
    </r>
  </si>
  <si>
    <r>
      <t>g</t>
    </r>
    <r>
      <rPr>
        <b/>
        <vertAlign val="subscript"/>
        <sz val="10"/>
        <rFont val="Arial"/>
        <family val="2"/>
      </rPr>
      <t>muro</t>
    </r>
  </si>
  <si>
    <t>j°</t>
  </si>
  <si>
    <r>
      <t>[daN/m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</si>
  <si>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[gradi]</t>
  </si>
  <si>
    <r>
      <t>[daN/m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</si>
  <si>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q =</t>
  </si>
  <si>
    <t>m</t>
  </si>
  <si>
    <t>h =</t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</si>
  <si>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</si>
  <si>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>S =</t>
  </si>
  <si>
    <r>
      <t>[daN/m</t>
    </r>
    <r>
      <rPr>
        <sz val="10"/>
        <rFont val="Arial"/>
        <family val="2"/>
      </rPr>
      <t>]</t>
    </r>
  </si>
  <si>
    <t>Ka =</t>
  </si>
  <si>
    <t>y =</t>
  </si>
  <si>
    <t>P max =</t>
  </si>
  <si>
    <t>P min =</t>
  </si>
  <si>
    <t>VERIFICA A RIBALTAMENTO</t>
  </si>
  <si>
    <t>figura</t>
  </si>
  <si>
    <t>M stab. [daN*m]</t>
  </si>
  <si>
    <r>
      <t>area  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</si>
  <si>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peso [daN]</t>
  </si>
  <si>
    <t>ascissa [m]</t>
  </si>
  <si>
    <t>M stab.</t>
  </si>
  <si>
    <t>M rib.</t>
  </si>
  <si>
    <t>M rib. =</t>
  </si>
  <si>
    <t>=</t>
  </si>
  <si>
    <t>VERIFICA A SCORRIMENTO</t>
  </si>
  <si>
    <t>f =</t>
  </si>
  <si>
    <t xml:space="preserve"> 1,3 * Q =</t>
  </si>
  <si>
    <t>VERIFICA A SCHIACCIAMENTO</t>
  </si>
  <si>
    <t>u =</t>
  </si>
  <si>
    <t>e =</t>
  </si>
  <si>
    <t>H/6 =</t>
  </si>
  <si>
    <t>dimensioni            [m]</t>
  </si>
  <si>
    <t>[%]</t>
  </si>
  <si>
    <t>D =</t>
  </si>
  <si>
    <t>H =</t>
  </si>
  <si>
    <t>c</t>
  </si>
  <si>
    <t>k =</t>
  </si>
  <si>
    <t>Nq =</t>
  </si>
  <si>
    <r>
      <t>N</t>
    </r>
    <r>
      <rPr>
        <b/>
        <i/>
        <sz val="10"/>
        <rFont val="Symbol"/>
        <family val="1"/>
      </rPr>
      <t>g</t>
    </r>
    <r>
      <rPr>
        <b/>
        <i/>
        <sz val="10"/>
        <rFont val="Arial"/>
        <family val="2"/>
      </rPr>
      <t xml:space="preserve"> =</t>
    </r>
  </si>
  <si>
    <t>Nc =</t>
  </si>
  <si>
    <t>dc =</t>
  </si>
  <si>
    <r>
      <t>d</t>
    </r>
    <r>
      <rPr>
        <b/>
        <i/>
        <sz val="10"/>
        <rFont val="Symbol"/>
        <family val="1"/>
      </rPr>
      <t>g</t>
    </r>
    <r>
      <rPr>
        <b/>
        <i/>
        <sz val="10"/>
        <rFont val="Arial"/>
        <family val="2"/>
      </rPr>
      <t xml:space="preserve"> =</t>
    </r>
  </si>
  <si>
    <t>dq =</t>
  </si>
  <si>
    <t>Ca =</t>
  </si>
  <si>
    <t>iq =</t>
  </si>
  <si>
    <r>
      <t>i</t>
    </r>
    <r>
      <rPr>
        <b/>
        <i/>
        <sz val="10"/>
        <rFont val="Symbol"/>
        <family val="1"/>
      </rPr>
      <t>g</t>
    </r>
    <r>
      <rPr>
        <b/>
        <i/>
        <sz val="10"/>
        <rFont val="Arial"/>
        <family val="2"/>
      </rPr>
      <t xml:space="preserve"> =</t>
    </r>
  </si>
  <si>
    <t>ic =</t>
  </si>
  <si>
    <r>
      <t>q</t>
    </r>
    <r>
      <rPr>
        <b/>
        <i/>
        <vertAlign val="subscript"/>
        <sz val="10"/>
        <rFont val="Arial"/>
        <family val="2"/>
      </rPr>
      <t>ult</t>
    </r>
    <r>
      <rPr>
        <b/>
        <i/>
        <sz val="10"/>
        <rFont val="Arial"/>
        <family val="2"/>
      </rPr>
      <t xml:space="preserve"> =</t>
    </r>
  </si>
  <si>
    <r>
      <t>[daN/cm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</si>
  <si>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verifica =</t>
  </si>
  <si>
    <t>(coesione)</t>
  </si>
  <si>
    <t>h</t>
  </si>
  <si>
    <t>D</t>
  </si>
  <si>
    <t>H</t>
  </si>
  <si>
    <t>b =</t>
  </si>
  <si>
    <t>b</t>
  </si>
  <si>
    <r>
      <t xml:space="preserve">a </t>
    </r>
    <r>
      <rPr>
        <sz val="10"/>
        <rFont val="Arial"/>
        <family val="2"/>
      </rPr>
      <t>=</t>
    </r>
  </si>
  <si>
    <t>gradi</t>
  </si>
  <si>
    <t>CONTROLLO DELL'ECCENTRICITA'</t>
  </si>
  <si>
    <r>
      <t>CALCOLO DELLA CAPACITA' PORTANTE DEL TERRENO [q</t>
    </r>
    <r>
      <rPr>
        <b/>
        <vertAlign val="subscript"/>
        <sz val="10"/>
        <rFont val="Arial"/>
        <family val="2"/>
      </rPr>
      <t>ult</t>
    </r>
    <r>
      <rPr>
        <b/>
        <sz val="10"/>
        <rFont val="Arial"/>
        <family val="2"/>
      </rPr>
      <t>]</t>
    </r>
  </si>
  <si>
    <r>
      <t>[daN*m</t>
    </r>
    <r>
      <rPr>
        <sz val="10"/>
        <rFont val="Arial"/>
        <family val="2"/>
      </rPr>
      <t>]</t>
    </r>
  </si>
  <si>
    <r>
      <t>d</t>
    </r>
    <r>
      <rPr>
        <b/>
        <i/>
        <sz val="10"/>
        <rFont val="Symbol"/>
        <family val="1"/>
      </rPr>
      <t>g</t>
    </r>
  </si>
  <si>
    <t>f</t>
  </si>
  <si>
    <t>&gt; i dati di input vanno inseriti esclusivamente nelle caselle con sfondo azzurro</t>
  </si>
  <si>
    <r>
      <t xml:space="preserve">     </t>
    </r>
    <r>
      <rPr>
        <sz val="10"/>
        <rFont val="Symbol"/>
        <family val="1"/>
      </rPr>
      <t>S</t>
    </r>
    <r>
      <rPr>
        <sz val="10"/>
        <rFont val="Arial"/>
        <family val="2"/>
      </rPr>
      <t>N * f =</t>
    </r>
  </si>
  <si>
    <t>modello di calcolo per muri di sostegno a gravità</t>
  </si>
  <si>
    <t>terrapieno orizzontale - eventuale sovraccarico q</t>
  </si>
  <si>
    <t>scarpa esterna</t>
  </si>
  <si>
    <t>dati geometrici (vedi figura)</t>
  </si>
  <si>
    <t>H' =</t>
  </si>
  <si>
    <t>Formule utilizzate:</t>
  </si>
  <si>
    <t>CALCOLO DELLA SPINTA</t>
  </si>
  <si>
    <r>
      <t>[daN/cm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</si>
  <si>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fuori dal nocciolo</t>
  </si>
  <si>
    <t>dentro il nocciolo</t>
  </si>
  <si>
    <r>
      <t>s</t>
    </r>
    <r>
      <rPr>
        <sz val="10"/>
        <rFont val="Arial"/>
        <family val="0"/>
      </rPr>
      <t xml:space="preserve"> max = (2 * N) / (3 * 100 * u) o [N  / (100 * H)] * (1 + (6 * e) / H) =</t>
    </r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</si>
</sst>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[$€-2]\ #,##0.00"/>
    <numFmt numFmtId="190" formatCode="[$€-2]\ #,##0.00;\-[$€-2]\ #,##0.00"/>
  </numFmts>
  <fonts count="1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b/>
      <sz val="8"/>
      <name val="Symbol"/>
      <family val="1"/>
    </font>
    <font>
      <b/>
      <i/>
      <sz val="10"/>
      <name val="Symbol"/>
      <family val="1"/>
    </font>
    <font>
      <b/>
      <i/>
      <vertAlign val="subscript"/>
      <sz val="10"/>
      <name val="Arial"/>
      <family val="2"/>
    </font>
    <font>
      <sz val="10"/>
      <name val="Symbol"/>
      <family val="1"/>
    </font>
    <font>
      <sz val="12"/>
      <color indexed="12"/>
      <name val="Arial"/>
      <family val="2"/>
    </font>
    <font>
      <sz val="8"/>
      <name val="Tahoma"/>
      <family val="0"/>
    </font>
    <font>
      <b/>
      <sz val="11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8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84" fontId="0" fillId="0" borderId="1" xfId="0" applyNumberFormat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18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 applyAlignment="1">
      <alignment/>
    </xf>
    <xf numFmtId="0" fontId="0" fillId="2" borderId="6" xfId="0" applyFill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 applyAlignment="1">
      <alignment horizontal="center" vertical="center" wrapText="1"/>
    </xf>
    <xf numFmtId="0" fontId="13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11.emf" /><Relationship Id="rId7" Type="http://schemas.openxmlformats.org/officeDocument/2006/relationships/image" Target="../media/image9.emf" /><Relationship Id="rId8" Type="http://schemas.openxmlformats.org/officeDocument/2006/relationships/image" Target="../media/image17.emf" /><Relationship Id="rId9" Type="http://schemas.openxmlformats.org/officeDocument/2006/relationships/image" Target="../media/image15.emf" /><Relationship Id="rId10" Type="http://schemas.openxmlformats.org/officeDocument/2006/relationships/image" Target="../media/image12.emf" /><Relationship Id="rId11" Type="http://schemas.openxmlformats.org/officeDocument/2006/relationships/image" Target="../media/image10.emf" /><Relationship Id="rId12" Type="http://schemas.openxmlformats.org/officeDocument/2006/relationships/image" Target="../media/image6.emf" /><Relationship Id="rId13" Type="http://schemas.openxmlformats.org/officeDocument/2006/relationships/image" Target="../media/image16.emf" /><Relationship Id="rId14" Type="http://schemas.openxmlformats.org/officeDocument/2006/relationships/image" Target="../media/image19.emf" /><Relationship Id="rId15" Type="http://schemas.openxmlformats.org/officeDocument/2006/relationships/image" Target="../media/image1.emf" /><Relationship Id="rId16" Type="http://schemas.openxmlformats.org/officeDocument/2006/relationships/image" Target="../media/image7.emf" /><Relationship Id="rId1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59</xdr:row>
      <xdr:rowOff>95250</xdr:rowOff>
    </xdr:from>
    <xdr:to>
      <xdr:col>3</xdr:col>
      <xdr:colOff>542925</xdr:colOff>
      <xdr:row>60</xdr:row>
      <xdr:rowOff>57150</xdr:rowOff>
    </xdr:to>
    <xdr:sp>
      <xdr:nvSpPr>
        <xdr:cNvPr id="1" name="AutoShape 49"/>
        <xdr:cNvSpPr>
          <a:spLocks/>
        </xdr:cNvSpPr>
      </xdr:nvSpPr>
      <xdr:spPr>
        <a:xfrm>
          <a:off x="2057400" y="9925050"/>
          <a:ext cx="4095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67</xdr:row>
      <xdr:rowOff>104775</xdr:rowOff>
    </xdr:from>
    <xdr:to>
      <xdr:col>4</xdr:col>
      <xdr:colOff>476250</xdr:colOff>
      <xdr:row>68</xdr:row>
      <xdr:rowOff>76200</xdr:rowOff>
    </xdr:to>
    <xdr:sp>
      <xdr:nvSpPr>
        <xdr:cNvPr id="2" name="AutoShape 51"/>
        <xdr:cNvSpPr>
          <a:spLocks/>
        </xdr:cNvSpPr>
      </xdr:nvSpPr>
      <xdr:spPr>
        <a:xfrm>
          <a:off x="2609850" y="11239500"/>
          <a:ext cx="4095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74</xdr:row>
      <xdr:rowOff>28575</xdr:rowOff>
    </xdr:from>
    <xdr:to>
      <xdr:col>3</xdr:col>
      <xdr:colOff>266700</xdr:colOff>
      <xdr:row>75</xdr:row>
      <xdr:rowOff>0</xdr:rowOff>
    </xdr:to>
    <xdr:sp>
      <xdr:nvSpPr>
        <xdr:cNvPr id="3" name="AutoShape 52"/>
        <xdr:cNvSpPr>
          <a:spLocks/>
        </xdr:cNvSpPr>
      </xdr:nvSpPr>
      <xdr:spPr>
        <a:xfrm>
          <a:off x="1771650" y="12296775"/>
          <a:ext cx="4095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74</xdr:row>
      <xdr:rowOff>28575</xdr:rowOff>
    </xdr:from>
    <xdr:to>
      <xdr:col>7</xdr:col>
      <xdr:colOff>447675</xdr:colOff>
      <xdr:row>75</xdr:row>
      <xdr:rowOff>0</xdr:rowOff>
    </xdr:to>
    <xdr:sp>
      <xdr:nvSpPr>
        <xdr:cNvPr id="4" name="AutoShape 53"/>
        <xdr:cNvSpPr>
          <a:spLocks/>
        </xdr:cNvSpPr>
      </xdr:nvSpPr>
      <xdr:spPr>
        <a:xfrm>
          <a:off x="4438650" y="12296775"/>
          <a:ext cx="40005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78</xdr:row>
      <xdr:rowOff>28575</xdr:rowOff>
    </xdr:from>
    <xdr:to>
      <xdr:col>7</xdr:col>
      <xdr:colOff>266700</xdr:colOff>
      <xdr:row>79</xdr:row>
      <xdr:rowOff>0</xdr:rowOff>
    </xdr:to>
    <xdr:sp>
      <xdr:nvSpPr>
        <xdr:cNvPr id="5" name="AutoShape 54"/>
        <xdr:cNvSpPr>
          <a:spLocks/>
        </xdr:cNvSpPr>
      </xdr:nvSpPr>
      <xdr:spPr>
        <a:xfrm>
          <a:off x="4248150" y="12944475"/>
          <a:ext cx="4095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109</xdr:row>
      <xdr:rowOff>38100</xdr:rowOff>
    </xdr:from>
    <xdr:to>
      <xdr:col>4</xdr:col>
      <xdr:colOff>495300</xdr:colOff>
      <xdr:row>109</xdr:row>
      <xdr:rowOff>161925</xdr:rowOff>
    </xdr:to>
    <xdr:sp>
      <xdr:nvSpPr>
        <xdr:cNvPr id="6" name="AutoShape 74"/>
        <xdr:cNvSpPr>
          <a:spLocks/>
        </xdr:cNvSpPr>
      </xdr:nvSpPr>
      <xdr:spPr>
        <a:xfrm>
          <a:off x="2628900" y="18068925"/>
          <a:ext cx="400050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103</xdr:row>
      <xdr:rowOff>47625</xdr:rowOff>
    </xdr:from>
    <xdr:to>
      <xdr:col>3</xdr:col>
      <xdr:colOff>485775</xdr:colOff>
      <xdr:row>103</xdr:row>
      <xdr:rowOff>171450</xdr:rowOff>
    </xdr:to>
    <xdr:sp>
      <xdr:nvSpPr>
        <xdr:cNvPr id="7" name="AutoShape 75"/>
        <xdr:cNvSpPr>
          <a:spLocks/>
        </xdr:cNvSpPr>
      </xdr:nvSpPr>
      <xdr:spPr>
        <a:xfrm>
          <a:off x="2038350" y="17040225"/>
          <a:ext cx="36195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78</xdr:row>
      <xdr:rowOff>19050</xdr:rowOff>
    </xdr:from>
    <xdr:to>
      <xdr:col>11</xdr:col>
      <xdr:colOff>323850</xdr:colOff>
      <xdr:row>78</xdr:row>
      <xdr:rowOff>152400</xdr:rowOff>
    </xdr:to>
    <xdr:sp>
      <xdr:nvSpPr>
        <xdr:cNvPr id="8" name="AutoShape 78"/>
        <xdr:cNvSpPr>
          <a:spLocks/>
        </xdr:cNvSpPr>
      </xdr:nvSpPr>
      <xdr:spPr>
        <a:xfrm>
          <a:off x="6800850" y="12934950"/>
          <a:ext cx="4572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100</xdr:row>
      <xdr:rowOff>47625</xdr:rowOff>
    </xdr:from>
    <xdr:to>
      <xdr:col>5</xdr:col>
      <xdr:colOff>400050</xdr:colOff>
      <xdr:row>102</xdr:row>
      <xdr:rowOff>85725</xdr:rowOff>
    </xdr:to>
    <xdr:pic>
      <xdr:nvPicPr>
        <xdr:cNvPr id="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554450"/>
          <a:ext cx="3467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108</xdr:row>
      <xdr:rowOff>57150</xdr:rowOff>
    </xdr:from>
    <xdr:to>
      <xdr:col>1</xdr:col>
      <xdr:colOff>561975</xdr:colOff>
      <xdr:row>110</xdr:row>
      <xdr:rowOff>85725</xdr:rowOff>
    </xdr:to>
    <xdr:pic>
      <xdr:nvPicPr>
        <xdr:cNvPr id="1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7926050"/>
          <a:ext cx="10382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12</xdr:col>
      <xdr:colOff>209550</xdr:colOff>
      <xdr:row>31</xdr:row>
      <xdr:rowOff>114300</xdr:rowOff>
    </xdr:to>
    <xdr:grpSp>
      <xdr:nvGrpSpPr>
        <xdr:cNvPr id="11" name="Group 111"/>
        <xdr:cNvGrpSpPr>
          <a:grpSpLocks/>
        </xdr:cNvGrpSpPr>
      </xdr:nvGrpSpPr>
      <xdr:grpSpPr>
        <a:xfrm>
          <a:off x="2838450" y="1466850"/>
          <a:ext cx="4972050" cy="3857625"/>
          <a:chOff x="298" y="122"/>
          <a:chExt cx="522" cy="405"/>
        </a:xfrm>
        <a:solidFill>
          <a:srgbClr val="FFFFFF"/>
        </a:solidFill>
      </xdr:grpSpPr>
      <xdr:sp>
        <xdr:nvSpPr>
          <xdr:cNvPr id="12" name="Line 4"/>
          <xdr:cNvSpPr>
            <a:spLocks/>
          </xdr:cNvSpPr>
        </xdr:nvSpPr>
        <xdr:spPr>
          <a:xfrm>
            <a:off x="462" y="465"/>
            <a:ext cx="1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"/>
          <xdr:cNvSpPr>
            <a:spLocks/>
          </xdr:cNvSpPr>
        </xdr:nvSpPr>
        <xdr:spPr>
          <a:xfrm flipV="1">
            <a:off x="653" y="206"/>
            <a:ext cx="0" cy="2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7"/>
          <xdr:cNvSpPr>
            <a:spLocks/>
          </xdr:cNvSpPr>
        </xdr:nvSpPr>
        <xdr:spPr>
          <a:xfrm flipV="1">
            <a:off x="461" y="409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8"/>
          <xdr:cNvSpPr>
            <a:spLocks/>
          </xdr:cNvSpPr>
        </xdr:nvSpPr>
        <xdr:spPr>
          <a:xfrm>
            <a:off x="461" y="410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9"/>
          <xdr:cNvSpPr>
            <a:spLocks/>
          </xdr:cNvSpPr>
        </xdr:nvSpPr>
        <xdr:spPr>
          <a:xfrm flipH="1">
            <a:off x="566" y="208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0"/>
          <xdr:cNvSpPr>
            <a:spLocks/>
          </xdr:cNvSpPr>
        </xdr:nvSpPr>
        <xdr:spPr>
          <a:xfrm flipV="1">
            <a:off x="503" y="208"/>
            <a:ext cx="64" cy="2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1"/>
          <xdr:cNvSpPr>
            <a:spLocks/>
          </xdr:cNvSpPr>
        </xdr:nvSpPr>
        <xdr:spPr>
          <a:xfrm>
            <a:off x="504" y="410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2"/>
          <xdr:cNvSpPr>
            <a:spLocks/>
          </xdr:cNvSpPr>
        </xdr:nvSpPr>
        <xdr:spPr>
          <a:xfrm>
            <a:off x="568" y="208"/>
            <a:ext cx="0" cy="20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13"/>
          <xdr:cNvSpPr txBox="1">
            <a:spLocks noChangeArrowheads="1"/>
          </xdr:cNvSpPr>
        </xdr:nvSpPr>
        <xdr:spPr>
          <a:xfrm>
            <a:off x="476" y="427"/>
            <a:ext cx="1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1" name="TextBox 14"/>
          <xdr:cNvSpPr txBox="1">
            <a:spLocks noChangeArrowheads="1"/>
          </xdr:cNvSpPr>
        </xdr:nvSpPr>
        <xdr:spPr>
          <a:xfrm>
            <a:off x="548" y="306"/>
            <a:ext cx="1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22" name="TextBox 15"/>
          <xdr:cNvSpPr txBox="1">
            <a:spLocks noChangeArrowheads="1"/>
          </xdr:cNvSpPr>
        </xdr:nvSpPr>
        <xdr:spPr>
          <a:xfrm>
            <a:off x="604" y="254"/>
            <a:ext cx="1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3" name="Line 16"/>
          <xdr:cNvSpPr>
            <a:spLocks/>
          </xdr:cNvSpPr>
        </xdr:nvSpPr>
        <xdr:spPr>
          <a:xfrm>
            <a:off x="653" y="208"/>
            <a:ext cx="1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7"/>
          <xdr:cNvSpPr>
            <a:spLocks/>
          </xdr:cNvSpPr>
        </xdr:nvSpPr>
        <xdr:spPr>
          <a:xfrm>
            <a:off x="653" y="465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8"/>
          <xdr:cNvSpPr>
            <a:spLocks/>
          </xdr:cNvSpPr>
        </xdr:nvSpPr>
        <xdr:spPr>
          <a:xfrm>
            <a:off x="461" y="516"/>
            <a:ext cx="193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9"/>
          <xdr:cNvSpPr>
            <a:spLocks/>
          </xdr:cNvSpPr>
        </xdr:nvSpPr>
        <xdr:spPr>
          <a:xfrm>
            <a:off x="461" y="506"/>
            <a:ext cx="0" cy="2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0"/>
          <xdr:cNvSpPr>
            <a:spLocks/>
          </xdr:cNvSpPr>
        </xdr:nvSpPr>
        <xdr:spPr>
          <a:xfrm>
            <a:off x="654" y="504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1"/>
          <xdr:cNvSpPr>
            <a:spLocks/>
          </xdr:cNvSpPr>
        </xdr:nvSpPr>
        <xdr:spPr>
          <a:xfrm flipV="1">
            <a:off x="394" y="410"/>
            <a:ext cx="0" cy="5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2"/>
          <xdr:cNvSpPr>
            <a:spLocks/>
          </xdr:cNvSpPr>
        </xdr:nvSpPr>
        <xdr:spPr>
          <a:xfrm>
            <a:off x="383" y="410"/>
            <a:ext cx="21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23"/>
          <xdr:cNvSpPr>
            <a:spLocks/>
          </xdr:cNvSpPr>
        </xdr:nvSpPr>
        <xdr:spPr>
          <a:xfrm>
            <a:off x="384" y="464"/>
            <a:ext cx="21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4"/>
          <xdr:cNvSpPr>
            <a:spLocks/>
          </xdr:cNvSpPr>
        </xdr:nvSpPr>
        <xdr:spPr>
          <a:xfrm flipV="1">
            <a:off x="315" y="208"/>
            <a:ext cx="0" cy="25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25"/>
          <xdr:cNvSpPr>
            <a:spLocks/>
          </xdr:cNvSpPr>
        </xdr:nvSpPr>
        <xdr:spPr>
          <a:xfrm>
            <a:off x="300" y="463"/>
            <a:ext cx="2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26"/>
          <xdr:cNvSpPr>
            <a:spLocks/>
          </xdr:cNvSpPr>
        </xdr:nvSpPr>
        <xdr:spPr>
          <a:xfrm>
            <a:off x="299" y="208"/>
            <a:ext cx="2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7"/>
          <xdr:cNvSpPr>
            <a:spLocks/>
          </xdr:cNvSpPr>
        </xdr:nvSpPr>
        <xdr:spPr>
          <a:xfrm flipV="1">
            <a:off x="653" y="171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28"/>
          <xdr:cNvSpPr>
            <a:spLocks/>
          </xdr:cNvSpPr>
        </xdr:nvSpPr>
        <xdr:spPr>
          <a:xfrm>
            <a:off x="653" y="174"/>
            <a:ext cx="94" cy="2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29"/>
          <xdr:cNvSpPr>
            <a:spLocks/>
          </xdr:cNvSpPr>
        </xdr:nvSpPr>
        <xdr:spPr>
          <a:xfrm flipV="1">
            <a:off x="315" y="172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0"/>
          <xdr:cNvSpPr>
            <a:spLocks/>
          </xdr:cNvSpPr>
        </xdr:nvSpPr>
        <xdr:spPr>
          <a:xfrm>
            <a:off x="298" y="172"/>
            <a:ext cx="31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1"/>
          <xdr:cNvSpPr>
            <a:spLocks/>
          </xdr:cNvSpPr>
        </xdr:nvSpPr>
        <xdr:spPr>
          <a:xfrm>
            <a:off x="653" y="171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2"/>
          <xdr:cNvSpPr>
            <a:spLocks/>
          </xdr:cNvSpPr>
        </xdr:nvSpPr>
        <xdr:spPr>
          <a:xfrm>
            <a:off x="674" y="172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3"/>
          <xdr:cNvSpPr>
            <a:spLocks/>
          </xdr:cNvSpPr>
        </xdr:nvSpPr>
        <xdr:spPr>
          <a:xfrm>
            <a:off x="696" y="171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4"/>
          <xdr:cNvSpPr>
            <a:spLocks/>
          </xdr:cNvSpPr>
        </xdr:nvSpPr>
        <xdr:spPr>
          <a:xfrm>
            <a:off x="720" y="171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5"/>
          <xdr:cNvSpPr>
            <a:spLocks/>
          </xdr:cNvSpPr>
        </xdr:nvSpPr>
        <xdr:spPr>
          <a:xfrm>
            <a:off x="741" y="171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6"/>
          <xdr:cNvSpPr>
            <a:spLocks/>
          </xdr:cNvSpPr>
        </xdr:nvSpPr>
        <xdr:spPr>
          <a:xfrm>
            <a:off x="566" y="136"/>
            <a:ext cx="86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7"/>
          <xdr:cNvSpPr>
            <a:spLocks/>
          </xdr:cNvSpPr>
        </xdr:nvSpPr>
        <xdr:spPr>
          <a:xfrm>
            <a:off x="567" y="122"/>
            <a:ext cx="0" cy="2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8"/>
          <xdr:cNvSpPr>
            <a:spLocks/>
          </xdr:cNvSpPr>
        </xdr:nvSpPr>
        <xdr:spPr>
          <a:xfrm>
            <a:off x="651" y="123"/>
            <a:ext cx="0" cy="2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9"/>
          <xdr:cNvSpPr>
            <a:spLocks/>
          </xdr:cNvSpPr>
        </xdr:nvSpPr>
        <xdr:spPr>
          <a:xfrm flipH="1">
            <a:off x="653" y="389"/>
            <a:ext cx="10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0"/>
          <xdr:cNvSpPr>
            <a:spLocks/>
          </xdr:cNvSpPr>
        </xdr:nvSpPr>
        <xdr:spPr>
          <a:xfrm>
            <a:off x="808" y="390"/>
            <a:ext cx="0" cy="7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1"/>
          <xdr:cNvSpPr>
            <a:spLocks/>
          </xdr:cNvSpPr>
        </xdr:nvSpPr>
        <xdr:spPr>
          <a:xfrm>
            <a:off x="793" y="389"/>
            <a:ext cx="26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2"/>
          <xdr:cNvSpPr>
            <a:spLocks/>
          </xdr:cNvSpPr>
        </xdr:nvSpPr>
        <xdr:spPr>
          <a:xfrm>
            <a:off x="794" y="465"/>
            <a:ext cx="26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TextBox 43"/>
          <xdr:cNvSpPr txBox="1">
            <a:spLocks noChangeArrowheads="1"/>
          </xdr:cNvSpPr>
        </xdr:nvSpPr>
        <xdr:spPr>
          <a:xfrm>
            <a:off x="688" y="477"/>
            <a:ext cx="4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 max</a:t>
            </a:r>
          </a:p>
        </xdr:txBody>
      </xdr:sp>
      <xdr:sp>
        <xdr:nvSpPr>
          <xdr:cNvPr id="51" name="TextBox 44"/>
          <xdr:cNvSpPr txBox="1">
            <a:spLocks noChangeArrowheads="1"/>
          </xdr:cNvSpPr>
        </xdr:nvSpPr>
        <xdr:spPr>
          <a:xfrm>
            <a:off x="682" y="215"/>
            <a:ext cx="4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 min</a:t>
            </a:r>
          </a:p>
        </xdr:txBody>
      </xdr:sp>
      <xdr:sp>
        <xdr:nvSpPr>
          <xdr:cNvPr id="52" name="Line 46"/>
          <xdr:cNvSpPr>
            <a:spLocks/>
          </xdr:cNvSpPr>
        </xdr:nvSpPr>
        <xdr:spPr>
          <a:xfrm flipH="1">
            <a:off x="510" y="188"/>
            <a:ext cx="5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47"/>
          <xdr:cNvSpPr>
            <a:spLocks/>
          </xdr:cNvSpPr>
        </xdr:nvSpPr>
        <xdr:spPr>
          <a:xfrm>
            <a:off x="510" y="176"/>
            <a:ext cx="0" cy="19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48"/>
          <xdr:cNvSpPr>
            <a:spLocks/>
          </xdr:cNvSpPr>
        </xdr:nvSpPr>
        <xdr:spPr>
          <a:xfrm>
            <a:off x="568" y="174"/>
            <a:ext cx="0" cy="2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 flipV="1">
            <a:off x="684" y="146"/>
            <a:ext cx="15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7"/>
          <xdr:cNvSpPr>
            <a:spLocks/>
          </xdr:cNvSpPr>
        </xdr:nvSpPr>
        <xdr:spPr>
          <a:xfrm>
            <a:off x="699" y="146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69"/>
          <xdr:cNvSpPr>
            <a:spLocks/>
          </xdr:cNvSpPr>
        </xdr:nvSpPr>
        <xdr:spPr>
          <a:xfrm>
            <a:off x="455" y="458"/>
            <a:ext cx="12" cy="1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TextBox 70"/>
          <xdr:cNvSpPr txBox="1">
            <a:spLocks noChangeArrowheads="1"/>
          </xdr:cNvSpPr>
        </xdr:nvSpPr>
        <xdr:spPr>
          <a:xfrm>
            <a:off x="441" y="47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9" name="Line 101"/>
          <xdr:cNvSpPr>
            <a:spLocks/>
          </xdr:cNvSpPr>
        </xdr:nvSpPr>
        <xdr:spPr>
          <a:xfrm>
            <a:off x="567" y="209"/>
            <a:ext cx="86" cy="20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02"/>
          <xdr:cNvSpPr>
            <a:spLocks/>
          </xdr:cNvSpPr>
        </xdr:nvSpPr>
        <xdr:spPr>
          <a:xfrm flipH="1">
            <a:off x="568" y="208"/>
            <a:ext cx="85" cy="20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03"/>
          <xdr:cNvSpPr>
            <a:spLocks/>
          </xdr:cNvSpPr>
        </xdr:nvSpPr>
        <xdr:spPr>
          <a:xfrm>
            <a:off x="461" y="411"/>
            <a:ext cx="192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04"/>
          <xdr:cNvSpPr>
            <a:spLocks/>
          </xdr:cNvSpPr>
        </xdr:nvSpPr>
        <xdr:spPr>
          <a:xfrm flipV="1">
            <a:off x="462" y="410"/>
            <a:ext cx="191" cy="5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05"/>
          <xdr:cNvSpPr>
            <a:spLocks/>
          </xdr:cNvSpPr>
        </xdr:nvSpPr>
        <xdr:spPr>
          <a:xfrm flipV="1">
            <a:off x="549" y="337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07"/>
          <xdr:cNvSpPr>
            <a:spLocks/>
          </xdr:cNvSpPr>
        </xdr:nvSpPr>
        <xdr:spPr>
          <a:xfrm>
            <a:off x="560" y="350"/>
            <a:ext cx="0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08"/>
          <xdr:cNvSpPr>
            <a:spLocks/>
          </xdr:cNvSpPr>
        </xdr:nvSpPr>
        <xdr:spPr>
          <a:xfrm>
            <a:off x="546" y="34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504825</xdr:colOff>
      <xdr:row>106</xdr:row>
      <xdr:rowOff>47625</xdr:rowOff>
    </xdr:from>
    <xdr:to>
      <xdr:col>2</xdr:col>
      <xdr:colOff>428625</xdr:colOff>
      <xdr:row>106</xdr:row>
      <xdr:rowOff>133350</xdr:rowOff>
    </xdr:to>
    <xdr:sp>
      <xdr:nvSpPr>
        <xdr:cNvPr id="66" name="AutoShape 150"/>
        <xdr:cNvSpPr>
          <a:spLocks/>
        </xdr:cNvSpPr>
      </xdr:nvSpPr>
      <xdr:spPr>
        <a:xfrm rot="16200000">
          <a:off x="504825" y="17592675"/>
          <a:ext cx="121920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106</xdr:row>
      <xdr:rowOff>47625</xdr:rowOff>
    </xdr:from>
    <xdr:to>
      <xdr:col>5</xdr:col>
      <xdr:colOff>514350</xdr:colOff>
      <xdr:row>106</xdr:row>
      <xdr:rowOff>142875</xdr:rowOff>
    </xdr:to>
    <xdr:sp>
      <xdr:nvSpPr>
        <xdr:cNvPr id="67" name="AutoShape 151"/>
        <xdr:cNvSpPr>
          <a:spLocks/>
        </xdr:cNvSpPr>
      </xdr:nvSpPr>
      <xdr:spPr>
        <a:xfrm rot="16200000">
          <a:off x="1828800" y="17592675"/>
          <a:ext cx="183832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N111"/>
  <sheetViews>
    <sheetView tabSelected="1" view="pageBreakPreview" zoomScaleSheetLayoutView="100" workbookViewId="0" topLeftCell="A94">
      <selection activeCell="G108" sqref="G108"/>
    </sheetView>
  </sheetViews>
  <sheetFormatPr defaultColWidth="9.140625" defaultRowHeight="12.75"/>
  <cols>
    <col min="1" max="1" width="9.28125" style="0" bestFit="1" customWidth="1"/>
    <col min="2" max="2" width="10.140625" style="0" bestFit="1" customWidth="1"/>
    <col min="3" max="7" width="9.28125" style="0" bestFit="1" customWidth="1"/>
    <col min="8" max="8" width="10.421875" style="0" bestFit="1" customWidth="1"/>
    <col min="9" max="10" width="9.28125" style="0" bestFit="1" customWidth="1"/>
    <col min="12" max="12" width="10.00390625" style="0" customWidth="1"/>
    <col min="13" max="13" width="9.28125" style="0" bestFit="1" customWidth="1"/>
  </cols>
  <sheetData>
    <row r="1" spans="4:11" ht="12.75" customHeight="1">
      <c r="D1" s="71" t="s">
        <v>68</v>
      </c>
      <c r="E1" s="44"/>
      <c r="F1" s="44"/>
      <c r="G1" s="44"/>
      <c r="H1" s="44"/>
      <c r="I1" s="44"/>
      <c r="J1" s="44"/>
      <c r="K1" s="44"/>
    </row>
    <row r="2" spans="4:11" ht="12.75" customHeight="1">
      <c r="D2" s="46"/>
      <c r="E2" s="44"/>
      <c r="F2" s="44"/>
      <c r="G2" s="44"/>
      <c r="H2" s="44"/>
      <c r="I2" s="44"/>
      <c r="J2" s="44"/>
      <c r="K2" s="44"/>
    </row>
    <row r="3" spans="1:11" ht="12.75" customHeight="1">
      <c r="A3" t="s">
        <v>69</v>
      </c>
      <c r="E3" s="44"/>
      <c r="F3" s="44"/>
      <c r="G3" s="44"/>
      <c r="H3" s="44"/>
      <c r="I3" s="44"/>
      <c r="J3" s="44"/>
      <c r="K3" s="44"/>
    </row>
    <row r="4" spans="1:11" ht="12" customHeight="1">
      <c r="A4" s="45" t="s">
        <v>66</v>
      </c>
      <c r="E4" s="44"/>
      <c r="F4" s="44"/>
      <c r="G4" s="44"/>
      <c r="H4" s="44"/>
      <c r="I4" s="44"/>
      <c r="J4" s="44"/>
      <c r="K4" s="44"/>
    </row>
    <row r="7" spans="1:6" ht="25.5">
      <c r="A7" s="4" t="s">
        <v>0</v>
      </c>
      <c r="B7" s="5" t="s">
        <v>3</v>
      </c>
      <c r="C7" s="5" t="s">
        <v>1</v>
      </c>
      <c r="D7" s="5" t="s">
        <v>2</v>
      </c>
      <c r="E7" s="48" t="s">
        <v>70</v>
      </c>
      <c r="F7" s="4" t="s">
        <v>38</v>
      </c>
    </row>
    <row r="8" spans="1:11" ht="14.25">
      <c r="A8" s="2" t="s">
        <v>4</v>
      </c>
      <c r="B8" s="2" t="s">
        <v>5</v>
      </c>
      <c r="C8" s="2" t="s">
        <v>6</v>
      </c>
      <c r="D8" s="2" t="s">
        <v>6</v>
      </c>
      <c r="E8" s="2" t="s">
        <v>35</v>
      </c>
      <c r="F8" s="2" t="s">
        <v>53</v>
      </c>
      <c r="I8" s="9" t="s">
        <v>57</v>
      </c>
      <c r="J8" s="37">
        <f>B15</f>
        <v>0.7</v>
      </c>
      <c r="K8" s="12" t="s">
        <v>8</v>
      </c>
    </row>
    <row r="9" spans="1:13" ht="14.25">
      <c r="A9" s="3">
        <v>450</v>
      </c>
      <c r="B9" s="3">
        <v>33</v>
      </c>
      <c r="C9" s="3">
        <v>1800</v>
      </c>
      <c r="D9" s="3">
        <v>2400</v>
      </c>
      <c r="E9" s="3">
        <v>10</v>
      </c>
      <c r="F9" s="3">
        <v>0</v>
      </c>
      <c r="K9" s="7" t="s">
        <v>7</v>
      </c>
      <c r="L9" s="1">
        <f>A9</f>
        <v>450</v>
      </c>
      <c r="M9" s="6" t="s">
        <v>4</v>
      </c>
    </row>
    <row r="11" spans="8:9" ht="12.75">
      <c r="H11" s="47">
        <f>(B14-B16)*(E9/100)</f>
        <v>0.37000000000000005</v>
      </c>
      <c r="I11" t="s">
        <v>8</v>
      </c>
    </row>
    <row r="12" spans="4:6" ht="12.75" customHeight="1">
      <c r="D12" s="9" t="s">
        <v>10</v>
      </c>
      <c r="E12" s="40">
        <f>B44</f>
        <v>0.25</v>
      </c>
      <c r="F12" t="s">
        <v>8</v>
      </c>
    </row>
    <row r="13" ht="12.75">
      <c r="A13" t="s">
        <v>71</v>
      </c>
    </row>
    <row r="14" spans="1:3" ht="12.75">
      <c r="A14" s="34" t="s">
        <v>54</v>
      </c>
      <c r="B14" s="36">
        <v>4.5</v>
      </c>
      <c r="C14" s="35" t="s">
        <v>8</v>
      </c>
    </row>
    <row r="15" spans="1:3" ht="12.75">
      <c r="A15" s="34" t="s">
        <v>58</v>
      </c>
      <c r="B15" s="36">
        <v>0.7</v>
      </c>
      <c r="C15" s="35" t="s">
        <v>8</v>
      </c>
    </row>
    <row r="16" spans="1:3" ht="12.75">
      <c r="A16" s="34" t="s">
        <v>55</v>
      </c>
      <c r="B16" s="36">
        <v>0.8</v>
      </c>
      <c r="C16" s="35" t="s">
        <v>8</v>
      </c>
    </row>
    <row r="17" spans="1:3" ht="12.75">
      <c r="A17" s="34" t="s">
        <v>56</v>
      </c>
      <c r="B17" s="36">
        <v>2</v>
      </c>
      <c r="C17" s="35" t="s">
        <v>8</v>
      </c>
    </row>
    <row r="20" spans="4:6" ht="12.75">
      <c r="D20" s="9" t="s">
        <v>9</v>
      </c>
      <c r="E20" s="37">
        <f>B14</f>
        <v>4.5</v>
      </c>
      <c r="F20" s="12" t="s">
        <v>8</v>
      </c>
    </row>
    <row r="21" spans="1:3" ht="12.75">
      <c r="A21" s="39" t="s">
        <v>64</v>
      </c>
      <c r="B21" s="42">
        <v>1</v>
      </c>
      <c r="C21" s="41"/>
    </row>
    <row r="22" spans="1:2" ht="12.75">
      <c r="A22" s="39" t="s">
        <v>65</v>
      </c>
      <c r="B22" s="3">
        <v>0.6</v>
      </c>
    </row>
    <row r="23" spans="12:14" ht="12.75">
      <c r="L23" s="9" t="s">
        <v>11</v>
      </c>
      <c r="M23" s="8">
        <f>E43</f>
        <v>5969.718058339757</v>
      </c>
      <c r="N23" s="11" t="s">
        <v>12</v>
      </c>
    </row>
    <row r="26" spans="12:14" ht="12.75">
      <c r="L26" s="9" t="s">
        <v>14</v>
      </c>
      <c r="M26" s="8">
        <f>E44</f>
        <v>1.5750000000000002</v>
      </c>
      <c r="N26" t="s">
        <v>8</v>
      </c>
    </row>
    <row r="27" spans="5:7" ht="12.75">
      <c r="E27" s="9" t="s">
        <v>36</v>
      </c>
      <c r="F27" s="37">
        <f>B16</f>
        <v>0.8</v>
      </c>
      <c r="G27" s="12" t="s">
        <v>8</v>
      </c>
    </row>
    <row r="31" spans="8:10" ht="12.75">
      <c r="H31" s="9" t="s">
        <v>37</v>
      </c>
      <c r="I31" s="37">
        <f>B17</f>
        <v>2</v>
      </c>
      <c r="J31" s="12" t="s">
        <v>8</v>
      </c>
    </row>
    <row r="35" ht="12.75">
      <c r="B35" s="13" t="s">
        <v>74</v>
      </c>
    </row>
    <row r="40" spans="1:10" ht="12.75">
      <c r="A40" s="1"/>
      <c r="B40" s="8"/>
      <c r="D40" s="1"/>
      <c r="E40" s="8"/>
      <c r="H40" s="1"/>
      <c r="I40" s="8"/>
      <c r="J40" s="11"/>
    </row>
    <row r="41" spans="1:10" ht="12.75">
      <c r="A41" s="1"/>
      <c r="B41" s="8"/>
      <c r="D41" s="1"/>
      <c r="E41" s="8"/>
      <c r="H41" s="1"/>
      <c r="I41" s="8"/>
      <c r="J41" s="11"/>
    </row>
    <row r="43" spans="1:10" ht="14.25">
      <c r="A43" s="1" t="s">
        <v>13</v>
      </c>
      <c r="B43" s="10">
        <f>TAN(RADIANS((90-B9)/2))^2</f>
        <v>0.2948008917698645</v>
      </c>
      <c r="D43" s="1" t="s">
        <v>11</v>
      </c>
      <c r="E43" s="8">
        <f>1/2*C9*B43*E20^2*(1+2*B44/E20)</f>
        <v>5969.718058339757</v>
      </c>
      <c r="F43" s="11" t="s">
        <v>12</v>
      </c>
      <c r="H43" s="1" t="s">
        <v>15</v>
      </c>
      <c r="I43" s="8">
        <f>C9*B44*B43</f>
        <v>132.66040129643903</v>
      </c>
      <c r="J43" s="11" t="s">
        <v>4</v>
      </c>
    </row>
    <row r="44" spans="1:10" ht="15.75">
      <c r="A44" s="1" t="s">
        <v>10</v>
      </c>
      <c r="B44" s="8">
        <f>A9/C9</f>
        <v>0.25</v>
      </c>
      <c r="C44" t="s">
        <v>8</v>
      </c>
      <c r="D44" s="1" t="s">
        <v>14</v>
      </c>
      <c r="E44" s="8">
        <f>E20/3*((E20+3*B44)/(E20+2*B44))</f>
        <v>1.5750000000000002</v>
      </c>
      <c r="F44" t="s">
        <v>8</v>
      </c>
      <c r="H44" s="1" t="s">
        <v>16</v>
      </c>
      <c r="I44" s="8">
        <f>C9*(E20+B44)*B43</f>
        <v>2520.5476246323415</v>
      </c>
      <c r="J44" s="11" t="s">
        <v>4</v>
      </c>
    </row>
    <row r="47" spans="2:10" ht="12.75">
      <c r="B47" s="13" t="s">
        <v>17</v>
      </c>
      <c r="J47" s="26"/>
    </row>
    <row r="49" spans="1:8" s="27" customFormat="1" ht="12.75" customHeight="1">
      <c r="A49" s="56" t="s">
        <v>18</v>
      </c>
      <c r="B49" s="58" t="s">
        <v>34</v>
      </c>
      <c r="C49" s="59"/>
      <c r="D49" s="56" t="s">
        <v>20</v>
      </c>
      <c r="E49" s="56"/>
      <c r="F49" s="56" t="s">
        <v>21</v>
      </c>
      <c r="G49" s="56" t="s">
        <v>22</v>
      </c>
      <c r="H49" s="56" t="s">
        <v>19</v>
      </c>
    </row>
    <row r="50" spans="1:8" ht="12.75">
      <c r="A50" s="57"/>
      <c r="B50" s="60"/>
      <c r="C50" s="61"/>
      <c r="D50" s="57"/>
      <c r="E50" s="57"/>
      <c r="F50" s="57"/>
      <c r="G50" s="57"/>
      <c r="H50" s="57"/>
    </row>
    <row r="51" spans="1:8" ht="12.75">
      <c r="A51" s="2">
        <v>1</v>
      </c>
      <c r="B51" s="2">
        <f>H11</f>
        <v>0.37000000000000005</v>
      </c>
      <c r="C51" s="14">
        <f>E20-F27</f>
        <v>3.7</v>
      </c>
      <c r="D51" s="15">
        <f>B51*C51/2</f>
        <v>0.6845000000000001</v>
      </c>
      <c r="E51" s="2"/>
      <c r="F51" s="17">
        <f>$D$9*1*D51</f>
        <v>1642.8000000000002</v>
      </c>
      <c r="G51" s="14">
        <f>I31-J8-(H11/3)</f>
        <v>1.1766666666666667</v>
      </c>
      <c r="H51" s="2">
        <f>F51*G51</f>
        <v>1933.0280000000002</v>
      </c>
    </row>
    <row r="52" spans="1:8" ht="14.25" customHeight="1">
      <c r="A52" s="2">
        <v>2</v>
      </c>
      <c r="B52" s="14">
        <f>J8</f>
        <v>0.7</v>
      </c>
      <c r="C52" s="14">
        <f>E20-F27</f>
        <v>3.7</v>
      </c>
      <c r="D52" s="14">
        <f>B52*C52</f>
        <v>2.59</v>
      </c>
      <c r="E52" s="2"/>
      <c r="F52" s="17">
        <f>$D$9*1*D52</f>
        <v>6216</v>
      </c>
      <c r="G52" s="14">
        <f>I31-(J8/2)</f>
        <v>1.65</v>
      </c>
      <c r="H52" s="2">
        <f>F52*G52</f>
        <v>10256.4</v>
      </c>
    </row>
    <row r="53" spans="1:8" ht="13.5" thickBot="1">
      <c r="A53" s="2">
        <v>3</v>
      </c>
      <c r="B53" s="14">
        <f>I31</f>
        <v>2</v>
      </c>
      <c r="C53" s="14">
        <f>F27</f>
        <v>0.8</v>
      </c>
      <c r="D53" s="14">
        <f>B53*C53</f>
        <v>1.6</v>
      </c>
      <c r="E53" s="2"/>
      <c r="F53" s="18">
        <f>$D$9*1*D53</f>
        <v>3840</v>
      </c>
      <c r="G53" s="14">
        <f>I31/2</f>
        <v>1</v>
      </c>
      <c r="H53" s="16">
        <f>F53*G53</f>
        <v>3840</v>
      </c>
    </row>
    <row r="54" spans="1:8" ht="12.75">
      <c r="A54" s="2"/>
      <c r="B54" s="2"/>
      <c r="C54" s="2"/>
      <c r="D54" s="2"/>
      <c r="E54" s="2"/>
      <c r="F54" s="19">
        <f>SUM(F51:F53)</f>
        <v>11698.8</v>
      </c>
      <c r="G54" s="2"/>
      <c r="H54" s="20">
        <f>SUM(H51:H53)</f>
        <v>16029.428</v>
      </c>
    </row>
    <row r="55" spans="9:13" ht="12.75">
      <c r="I55" s="32"/>
      <c r="J55" s="32"/>
      <c r="K55" s="32"/>
      <c r="L55" s="32"/>
      <c r="M55" s="32"/>
    </row>
    <row r="56" spans="1:5" ht="12.75">
      <c r="A56" s="1" t="s">
        <v>25</v>
      </c>
      <c r="B56" s="8">
        <f>E43*E44</f>
        <v>9402.305941885117</v>
      </c>
      <c r="C56" s="11" t="s">
        <v>63</v>
      </c>
      <c r="D56" s="32"/>
      <c r="E56" s="32"/>
    </row>
    <row r="57" spans="1:5" ht="12.75">
      <c r="A57" s="32"/>
      <c r="B57" s="32"/>
      <c r="C57" s="32"/>
      <c r="D57" s="32"/>
      <c r="E57" s="32"/>
    </row>
    <row r="60" spans="1:6" ht="13.5" thickBot="1">
      <c r="A60" s="21" t="s">
        <v>23</v>
      </c>
      <c r="B60" s="66" t="s">
        <v>26</v>
      </c>
      <c r="C60" s="67">
        <f>H54/B56</f>
        <v>1.7048400784952735</v>
      </c>
      <c r="E60" s="68" t="str">
        <f>IF(C60&gt;=1.5,"verificato in quanto &gt;=1,5","non verificato in quanto &lt;1,5")</f>
        <v>verificato in quanto &gt;=1,5</v>
      </c>
      <c r="F60" s="68"/>
    </row>
    <row r="61" spans="1:6" ht="12.75">
      <c r="A61" s="1" t="s">
        <v>24</v>
      </c>
      <c r="B61" s="66"/>
      <c r="C61" s="67"/>
      <c r="E61" s="68"/>
      <c r="F61" s="68"/>
    </row>
    <row r="64" ht="12.75">
      <c r="B64" s="13" t="s">
        <v>27</v>
      </c>
    </row>
    <row r="65" spans="9:13" ht="12.75">
      <c r="I65" s="32"/>
      <c r="J65" s="32"/>
      <c r="K65" s="32"/>
      <c r="L65" s="32"/>
      <c r="M65" s="32"/>
    </row>
    <row r="66" spans="1:13" ht="12.75">
      <c r="A66" s="22" t="s">
        <v>28</v>
      </c>
      <c r="B66" s="1">
        <f>B22</f>
        <v>0.6</v>
      </c>
      <c r="I66" s="32"/>
      <c r="J66" s="32"/>
      <c r="K66" s="32"/>
      <c r="L66" s="32"/>
      <c r="M66" s="32"/>
    </row>
    <row r="67" ht="12.75">
      <c r="M67" s="32"/>
    </row>
    <row r="68" spans="2:14" ht="12.75">
      <c r="B68" s="23" t="s">
        <v>67</v>
      </c>
      <c r="C68">
        <f>F54*B66</f>
        <v>7019.28</v>
      </c>
      <c r="D68" s="11" t="s">
        <v>12</v>
      </c>
      <c r="F68" s="64" t="str">
        <f>IF(C68&gt;C69,"verificato","non verificato, calcolo dell'angolo alfa per inclinazione della base")</f>
        <v>non verificato, calcolo dell'angolo alfa per inclinazione della base</v>
      </c>
      <c r="G68" s="64"/>
      <c r="H68" s="64"/>
      <c r="I68" s="64"/>
      <c r="J68" s="65" t="s">
        <v>59</v>
      </c>
      <c r="M68" s="53">
        <f>IF(F68="verificato","-------",DEGREES((2*E43-F54*B66)/(E43*B66+2*F54)))</f>
        <v>10.448855713644727</v>
      </c>
      <c r="N68" s="54" t="s">
        <v>60</v>
      </c>
    </row>
    <row r="69" spans="2:14" ht="12.75">
      <c r="B69" s="23" t="s">
        <v>29</v>
      </c>
      <c r="C69" s="8">
        <f>E43*1.3</f>
        <v>7760.633475841684</v>
      </c>
      <c r="D69" s="11" t="s">
        <v>12</v>
      </c>
      <c r="F69" s="64"/>
      <c r="G69" s="64"/>
      <c r="H69" s="64"/>
      <c r="I69" s="64"/>
      <c r="J69" s="65"/>
      <c r="K69" s="32"/>
      <c r="L69" s="32"/>
      <c r="M69" s="53"/>
      <c r="N69" s="54"/>
    </row>
    <row r="70" spans="7:13" ht="12.75">
      <c r="G70" s="33"/>
      <c r="I70" s="32"/>
      <c r="J70" s="32"/>
      <c r="K70" s="32"/>
      <c r="L70" s="32"/>
      <c r="M70" s="32"/>
    </row>
    <row r="71" spans="9:13" ht="12.75">
      <c r="I71" s="32"/>
      <c r="J71" s="32"/>
      <c r="K71" s="32"/>
      <c r="L71" s="32"/>
      <c r="M71" s="32"/>
    </row>
    <row r="72" spans="2:13" ht="12.75">
      <c r="B72" s="13" t="s">
        <v>61</v>
      </c>
      <c r="I72" s="32"/>
      <c r="J72" s="32"/>
      <c r="K72" s="32"/>
      <c r="L72" s="32"/>
      <c r="M72" s="32"/>
    </row>
    <row r="74" spans="1:3" ht="12.75">
      <c r="A74" s="22" t="s">
        <v>31</v>
      </c>
      <c r="B74" s="8">
        <f>(H54-B56)/F54</f>
        <v>0.5664787891163952</v>
      </c>
      <c r="C74" t="s">
        <v>8</v>
      </c>
    </row>
    <row r="75" spans="1:9" ht="12.75">
      <c r="A75" s="22" t="s">
        <v>32</v>
      </c>
      <c r="B75" s="8">
        <f>I31/2-B74</f>
        <v>0.43352121088360485</v>
      </c>
      <c r="C75" t="s">
        <v>8</v>
      </c>
      <c r="E75" s="62" t="str">
        <f>IF(B75&gt;B76,"fuori dal nocciolo; e&gt;H/6","dentro il nocciolo; e&lt;H/6")</f>
        <v>fuori dal nocciolo; e&gt;H/6</v>
      </c>
      <c r="F75" s="62"/>
      <c r="G75" s="62"/>
      <c r="I75" s="24" t="str">
        <f>IF(E75="fuori dal nocciolo; e&gt;H/6","occorre ricalcolare la spinta in assenza di sovraccarico","procedere")</f>
        <v>occorre ricalcolare la spinta in assenza di sovraccarico</v>
      </c>
    </row>
    <row r="76" spans="1:3" ht="12.75">
      <c r="A76" s="22" t="s">
        <v>33</v>
      </c>
      <c r="B76" s="8">
        <f>I31/6</f>
        <v>0.3333333333333333</v>
      </c>
      <c r="C76" t="s">
        <v>8</v>
      </c>
    </row>
    <row r="78" spans="1:7" ht="12.75">
      <c r="A78" s="1" t="s">
        <v>11</v>
      </c>
      <c r="B78" s="8">
        <f>IF(E75="fuori dal nocciolo; e&gt;H/6",1/2*C9*E20^2*B43,"------")</f>
        <v>5372.746252505781</v>
      </c>
      <c r="C78" s="11" t="s">
        <v>12</v>
      </c>
      <c r="E78" s="25" t="s">
        <v>31</v>
      </c>
      <c r="F78" s="8">
        <f>IF(E75="fuori dal nocciolo; e&gt;H/6",(H54-B80)/F54,"-------")</f>
        <v>0.6812928352686882</v>
      </c>
      <c r="G78" t="s">
        <v>8</v>
      </c>
    </row>
    <row r="79" spans="1:14" ht="12.75">
      <c r="A79" s="1" t="s">
        <v>14</v>
      </c>
      <c r="B79" s="8">
        <f>IF(E75="fuori dal nocciolo; e&gt;H/6",E20/3,"------")</f>
        <v>1.5</v>
      </c>
      <c r="C79" t="s">
        <v>8</v>
      </c>
      <c r="E79" s="25" t="s">
        <v>32</v>
      </c>
      <c r="F79" s="8">
        <f>IF(E75="fuori dal nocciolo; e&gt;H/6",I31/2-F78,"-------")</f>
        <v>0.3187071647313118</v>
      </c>
      <c r="G79" t="s">
        <v>8</v>
      </c>
      <c r="I79" s="63" t="str">
        <f>IF(F79&gt;F80,"fuori dal nocciolo; e&gt;H/6","dentro al nocciolo")</f>
        <v>dentro al nocciolo</v>
      </c>
      <c r="J79" s="63"/>
      <c r="M79" s="55" t="str">
        <f>IF(I79="fuori dal nocciolo; e&gt;H/6","cambiare sezione","procedere")</f>
        <v>procedere</v>
      </c>
      <c r="N79" s="55"/>
    </row>
    <row r="80" spans="1:7" ht="12.75">
      <c r="A80" s="1" t="s">
        <v>25</v>
      </c>
      <c r="B80" s="8">
        <f>IF(E75="fuori dal nocciolo; e&gt;H/6",B78*B79,"------")</f>
        <v>8059.119378758671</v>
      </c>
      <c r="C80" s="11" t="s">
        <v>12</v>
      </c>
      <c r="E80" s="25" t="s">
        <v>33</v>
      </c>
      <c r="F80" s="8">
        <f>IF(E75="fuori dal nocciolo; e&gt;H/6",I31/6,"-------")</f>
        <v>0.3333333333333333</v>
      </c>
      <c r="G80" t="s">
        <v>8</v>
      </c>
    </row>
    <row r="83" ht="12.75">
      <c r="B83" s="13" t="s">
        <v>30</v>
      </c>
    </row>
    <row r="84" ht="15">
      <c r="B84" s="43" t="s">
        <v>62</v>
      </c>
    </row>
    <row r="86" spans="1:3" ht="12.75">
      <c r="A86" s="49" t="s">
        <v>72</v>
      </c>
      <c r="B86" s="50" t="str">
        <f>IF(F9=0,"---------",B17-(2*B75))</f>
        <v>---------</v>
      </c>
      <c r="C86" s="51" t="s">
        <v>8</v>
      </c>
    </row>
    <row r="87" spans="1:10" ht="12.75">
      <c r="A87" s="22" t="s">
        <v>39</v>
      </c>
      <c r="B87" s="8">
        <f>IF(F27/I31&lt;1,F27/I31,ATAN(F27/I31))</f>
        <v>0.4</v>
      </c>
      <c r="C87" s="1" t="str">
        <f>IF(B87&gt;1,"&gt; 1","&lt; 1")</f>
        <v>&lt; 1</v>
      </c>
      <c r="I87" s="22" t="s">
        <v>46</v>
      </c>
      <c r="J87" t="str">
        <f>IF(F9=0,"---------------",0.7*F9)</f>
        <v>---------------</v>
      </c>
    </row>
    <row r="88" spans="1:10" ht="12.75">
      <c r="A88" s="22" t="s">
        <v>40</v>
      </c>
      <c r="B88" s="8">
        <f>EXP(PI()*TAN(RADIANS(B9)))*(TAN(RADIANS(45)+(RADIANS(B9)/2)))^2</f>
        <v>26.09201209919899</v>
      </c>
      <c r="E88" s="22" t="s">
        <v>45</v>
      </c>
      <c r="F88" s="10">
        <f>1+2*TAN(RADIANS(B9))*(1-SIN(RADIANS(B9)))^2*B87</f>
        <v>1.1077256062341392</v>
      </c>
      <c r="I88" s="22" t="s">
        <v>47</v>
      </c>
      <c r="J88" s="10">
        <f>IF(F9=0,(1-((0.5*E43)/F54))^2,(1-((0.5*E43)/(F54+B86*ATAN(RADIANS(B9)))))^2)</f>
        <v>0.5548129563298625</v>
      </c>
    </row>
    <row r="89" spans="1:10" ht="12.75">
      <c r="A89" s="22" t="s">
        <v>41</v>
      </c>
      <c r="B89" s="10">
        <f>1.5*(B88-1)*TAN(RADIANS(B9))</f>
        <v>24.442414778735444</v>
      </c>
      <c r="E89" s="22" t="s">
        <v>44</v>
      </c>
      <c r="F89" s="38">
        <f>B21</f>
        <v>1</v>
      </c>
      <c r="I89" s="22" t="s">
        <v>48</v>
      </c>
      <c r="J89" s="10">
        <f>IF(F9=0,(1-((0.7*E43)/F54))^3,(1-((0.7*E43)/(F54+B86*ATAN(RADIANS(B9)))))^3)</f>
        <v>0.2656006386136366</v>
      </c>
    </row>
    <row r="90" spans="1:10" ht="12.75">
      <c r="A90" s="22" t="s">
        <v>42</v>
      </c>
      <c r="B90" s="31" t="str">
        <f>IF(F9=0,"----------------",(B88-1)*ATAN(RADIANS(B9)))</f>
        <v>----------------</v>
      </c>
      <c r="E90" s="22" t="s">
        <v>43</v>
      </c>
      <c r="F90" s="31" t="str">
        <f>IF(F9=0,"---------------",1+0.4*B87)</f>
        <v>---------------</v>
      </c>
      <c r="I90" s="22" t="s">
        <v>49</v>
      </c>
      <c r="J90" s="31" t="str">
        <f>IF(F9=0,"---------------",J88-((1-J88)/(B88-1)))</f>
        <v>---------------</v>
      </c>
    </row>
    <row r="91" spans="1:10" ht="12.75">
      <c r="A91" s="22"/>
      <c r="B91" s="31"/>
      <c r="E91" s="22"/>
      <c r="F91" s="31"/>
      <c r="I91" s="22"/>
      <c r="J91" s="31"/>
    </row>
    <row r="92" spans="1:10" ht="12.75">
      <c r="A92" s="52" t="s">
        <v>73</v>
      </c>
      <c r="B92" s="31"/>
      <c r="E92" s="22"/>
      <c r="F92" s="31"/>
      <c r="I92" s="22"/>
      <c r="J92" s="31"/>
    </row>
    <row r="104" spans="1:6" ht="15.75">
      <c r="A104" s="22" t="s">
        <v>50</v>
      </c>
      <c r="B104" s="8">
        <f>IF(F9=0,(C9*F27*B88*F88*J88)+((C9/2)*I31*B89*F89*J89),(F9*B90*F90*J90)+(C9*F27*B88*F88*J88)+((C9/2)*I31*B89*F89*J89))</f>
        <v>34776.78269768967</v>
      </c>
      <c r="C104" t="s">
        <v>4</v>
      </c>
      <c r="D104" s="29"/>
      <c r="E104" s="30">
        <f>B104/10000</f>
        <v>3.4776782697689668</v>
      </c>
      <c r="F104" t="s">
        <v>51</v>
      </c>
    </row>
    <row r="105" spans="1:5" ht="12.75">
      <c r="A105" s="22"/>
      <c r="B105" s="8"/>
      <c r="D105" s="29"/>
      <c r="E105" s="30"/>
    </row>
    <row r="106" spans="1:8" ht="15">
      <c r="A106" s="69" t="s">
        <v>78</v>
      </c>
      <c r="G106" s="70">
        <f>IF(B75&lt;=B76,(F54/(100*(I31*100)))*(1+(6*B75*100)/(100*I31)),(2*(F54)/(300*(100*B74))))</f>
        <v>1.3767858832217437</v>
      </c>
      <c r="H106" s="12" t="s">
        <v>75</v>
      </c>
    </row>
    <row r="108" spans="2:5" ht="12.75">
      <c r="B108" t="s">
        <v>76</v>
      </c>
      <c r="E108" s="27" t="s">
        <v>77</v>
      </c>
    </row>
    <row r="109" ht="12.75">
      <c r="E109" s="27"/>
    </row>
    <row r="110" spans="3:7" ht="12.75">
      <c r="C110" s="22" t="s">
        <v>52</v>
      </c>
      <c r="D110" s="8">
        <f>E104/G106</f>
        <v>2.5259398081792037</v>
      </c>
      <c r="F110" s="55" t="str">
        <f>IF(D110&gt;2,"verificato","non verificato")</f>
        <v>verificato</v>
      </c>
      <c r="G110" s="55"/>
    </row>
    <row r="111" spans="1:2" ht="12.75">
      <c r="A111" s="28"/>
      <c r="B111" s="8"/>
    </row>
  </sheetData>
  <mergeCells count="18">
    <mergeCell ref="B60:B61"/>
    <mergeCell ref="C60:C61"/>
    <mergeCell ref="G49:G50"/>
    <mergeCell ref="H49:H50"/>
    <mergeCell ref="E60:F61"/>
    <mergeCell ref="E75:G75"/>
    <mergeCell ref="I79:J79"/>
    <mergeCell ref="F68:I69"/>
    <mergeCell ref="J68:J69"/>
    <mergeCell ref="A49:A50"/>
    <mergeCell ref="B49:C50"/>
    <mergeCell ref="D49:D50"/>
    <mergeCell ref="F49:F50"/>
    <mergeCell ref="E49:E50"/>
    <mergeCell ref="M68:M69"/>
    <mergeCell ref="N68:N69"/>
    <mergeCell ref="M79:N79"/>
    <mergeCell ref="F110:G110"/>
  </mergeCells>
  <conditionalFormatting sqref="G70">
    <cfRule type="cellIs" priority="1" dxfId="0" operator="equal" stopIfTrue="1">
      <formula>"verificato"</formula>
    </cfRule>
    <cfRule type="cellIs" priority="2" dxfId="1" operator="equal" stopIfTrue="1">
      <formula>"non verificato"</formula>
    </cfRule>
  </conditionalFormatting>
  <conditionalFormatting sqref="E75:G75">
    <cfRule type="cellIs" priority="3" dxfId="2" operator="equal" stopIfTrue="1">
      <formula>"fuori dal nocciolo; e&gt;H/6"</formula>
    </cfRule>
    <cfRule type="cellIs" priority="4" dxfId="0" operator="equal" stopIfTrue="1">
      <formula>"dentro il nocciolo; e&lt;H/6"</formula>
    </cfRule>
  </conditionalFormatting>
  <conditionalFormatting sqref="E60:F61">
    <cfRule type="cellIs" priority="5" dxfId="0" operator="equal" stopIfTrue="1">
      <formula>"verificato in quanto &gt;1,5"</formula>
    </cfRule>
    <cfRule type="cellIs" priority="6" dxfId="2" operator="equal" stopIfTrue="1">
      <formula>"non verificato in quanto&lt;1,5"</formula>
    </cfRule>
  </conditionalFormatting>
  <conditionalFormatting sqref="F68:H69">
    <cfRule type="cellIs" priority="7" dxfId="0" operator="equal" stopIfTrue="1">
      <formula>"verificato"</formula>
    </cfRule>
    <cfRule type="cellIs" priority="8" dxfId="2" operator="equal" stopIfTrue="1">
      <formula>"non verificato, calcolo dell'angolo alfa per inclinazione della base"</formula>
    </cfRule>
  </conditionalFormatting>
  <conditionalFormatting sqref="M79:N79">
    <cfRule type="cellIs" priority="9" dxfId="2" operator="equal" stopIfTrue="1">
      <formula>"cambiare sezione"</formula>
    </cfRule>
    <cfRule type="cellIs" priority="10" dxfId="0" operator="equal" stopIfTrue="1">
      <formula>"procedere"</formula>
    </cfRule>
  </conditionalFormatting>
  <conditionalFormatting sqref="F110:G110">
    <cfRule type="cellIs" priority="11" dxfId="0" operator="equal" stopIfTrue="1">
      <formula>"verificato"</formula>
    </cfRule>
    <cfRule type="cellIs" priority="12" dxfId="2" operator="equal" stopIfTrue="1">
      <formula>"non verificato"</formula>
    </cfRule>
  </conditionalFormatting>
  <printOptions/>
  <pageMargins left="0.74" right="0.31496062992125984" top="0.23" bottom="0.85" header="0.1968503937007874" footer="0.33"/>
  <pageSetup horizontalDpi="600" verticalDpi="600" orientation="landscape" paperSize="9" scale="99" r:id="rId21"/>
  <headerFooter alignWithMargins="0">
    <oddFooter>&amp;L&amp;D&amp;CPoli Giancarlo
cl. 5 B geometri
ITCG "Battisti"&amp;RPag. &amp;P/&amp;N</oddFooter>
  </headerFooter>
  <rowBreaks count="2" manualBreakCount="2">
    <brk id="34" max="255" man="1"/>
    <brk id="70" max="13" man="1"/>
  </rowBreaks>
  <drawing r:id="rId20"/>
  <legacyDrawing r:id="rId19"/>
  <oleObjects>
    <oleObject progId="Equation.3" shapeId="105666" r:id="rId2"/>
    <oleObject progId="Equation.3" shapeId="105667" r:id="rId3"/>
    <oleObject progId="Equation.3" shapeId="105668" r:id="rId4"/>
    <oleObject progId="Equation.3" shapeId="105669" r:id="rId5"/>
    <oleObject progId="Equation.3" shapeId="106692" r:id="rId6"/>
    <oleObject progId="Equation.3" shapeId="106693" r:id="rId7"/>
    <oleObject progId="Equation.3" shapeId="146707" r:id="rId8"/>
    <oleObject progId="Equation.3" shapeId="169490" r:id="rId9"/>
    <oleObject progId="Equation.3" shapeId="174818" r:id="rId10"/>
    <oleObject progId="Equation.3" shapeId="181563" r:id="rId11"/>
    <oleObject progId="Equation.3" shapeId="186982" r:id="rId12"/>
    <oleObject progId="Equation.3" shapeId="192782" r:id="rId13"/>
    <oleObject progId="Equation.3" shapeId="199846" r:id="rId14"/>
    <oleObject progId="Equation.3" shapeId="206001" r:id="rId15"/>
    <oleObject progId="Equation.3" shapeId="211984" r:id="rId16"/>
    <oleObject progId="Equation.3" shapeId="215643" r:id="rId17"/>
    <oleObject progId="Equation.3" shapeId="98762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di calcolo per muro di sostegno a gravità</dc:title>
  <dc:subject/>
  <dc:creator>Poli Giancarlo - Michelini M. A.</dc:creator>
  <cp:keywords/>
  <dc:description/>
  <cp:lastModifiedBy>Maria Angela Michelini</cp:lastModifiedBy>
  <cp:lastPrinted>2002-06-28T16:41:19Z</cp:lastPrinted>
  <dcterms:created xsi:type="dcterms:W3CDTF">1996-11-05T10:16:36Z</dcterms:created>
  <dcterms:modified xsi:type="dcterms:W3CDTF">2002-08-13T15:32:13Z</dcterms:modified>
  <cp:category/>
  <cp:version/>
  <cp:contentType/>
  <cp:contentStatus/>
</cp:coreProperties>
</file>