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calcoli" sheetId="1" r:id="rId1"/>
    <sheet name="relazione finale" sheetId="2" r:id="rId2"/>
  </sheets>
  <definedNames>
    <definedName name="acciaio">'calcoli'!$L$123:$M$124</definedName>
    <definedName name="FeB">'calcoli'!$L$123:$L$124</definedName>
    <definedName name="Rck">'calcoli'!$M$118:$M$121</definedName>
    <definedName name="sigma_acciaio">'calcoli'!$M$123:$M$124</definedName>
  </definedNames>
  <calcPr fullCalcOnLoad="1"/>
</workbook>
</file>

<file path=xl/comments1.xml><?xml version="1.0" encoding="utf-8"?>
<comments xmlns="http://schemas.openxmlformats.org/spreadsheetml/2006/main">
  <authors>
    <author>Maria Angela Michelini</author>
    <author>Poli Giancarlo</author>
  </authors>
  <commentList>
    <comment ref="H134" authorId="0">
      <text>
        <r>
          <rPr>
            <sz val="8"/>
            <rFont val="Tahoma"/>
            <family val="0"/>
          </rPr>
          <t xml:space="preserve">Percentuale di armatura compressa rispetto a quella tesa: A's/As
</t>
        </r>
      </text>
    </comment>
    <comment ref="I182" authorId="0">
      <text>
        <r>
          <rPr>
            <sz val="8"/>
            <rFont val="Tahoma"/>
            <family val="0"/>
          </rPr>
          <t>Percentuale di armatura compressa rispetto a quella tesa: A's/As</t>
        </r>
      </text>
    </comment>
    <comment ref="A142" authorId="0">
      <text>
        <r>
          <rPr>
            <b/>
            <sz val="8"/>
            <rFont val="Tahoma"/>
            <family val="0"/>
          </rPr>
          <t>altezza utile della sezione</t>
        </r>
      </text>
    </comment>
    <comment ref="K5" authorId="1">
      <text>
        <r>
          <rPr>
            <b/>
            <sz val="8"/>
            <rFont val="Tahoma"/>
            <family val="0"/>
          </rPr>
          <t>altezza terrapieno</t>
        </r>
      </text>
    </comment>
    <comment ref="K6" authorId="1">
      <text>
        <r>
          <rPr>
            <b/>
            <sz val="8"/>
            <rFont val="Tahoma"/>
            <family val="0"/>
          </rPr>
          <t>altezza fondazione</t>
        </r>
      </text>
    </comment>
    <comment ref="K7" authorId="1">
      <text>
        <r>
          <rPr>
            <b/>
            <sz val="8"/>
            <rFont val="Tahoma"/>
            <family val="0"/>
          </rPr>
          <t>lunghezza fondazione</t>
        </r>
      </text>
    </comment>
    <comment ref="K8" authorId="1">
      <text>
        <r>
          <rPr>
            <b/>
            <sz val="8"/>
            <rFont val="Tahoma"/>
            <family val="0"/>
          </rPr>
          <t>spessore parete di sostegno a livello della fondazione</t>
        </r>
      </text>
    </comment>
    <comment ref="K9" authorId="1">
      <text>
        <r>
          <rPr>
            <b/>
            <sz val="8"/>
            <rFont val="Tahoma"/>
            <family val="0"/>
          </rPr>
          <t>sbalzo fondazione a monte</t>
        </r>
      </text>
    </comment>
    <comment ref="K10" authorId="1">
      <text>
        <r>
          <rPr>
            <b/>
            <sz val="8"/>
            <rFont val="Tahoma"/>
            <family val="0"/>
          </rPr>
          <t>spessore parete di sostegno in sommità</t>
        </r>
      </text>
    </comment>
    <comment ref="K15" authorId="1">
      <text>
        <r>
          <rPr>
            <b/>
            <sz val="8"/>
            <rFont val="Tahoma"/>
            <family val="0"/>
          </rPr>
          <t>coefficiente per il calcolo della capacità portante del terreno</t>
        </r>
      </text>
    </comment>
    <comment ref="K16" authorId="1">
      <text>
        <r>
          <rPr>
            <b/>
            <sz val="8"/>
            <rFont val="Tahoma"/>
            <family val="0"/>
          </rPr>
          <t>coefficiente d'attrito terra-fondazione</t>
        </r>
      </text>
    </comment>
    <comment ref="K18" authorId="1">
      <text>
        <r>
          <rPr>
            <b/>
            <sz val="8"/>
            <rFont val="Tahoma"/>
            <family val="0"/>
          </rPr>
          <t>peso specifico del terreno</t>
        </r>
      </text>
    </comment>
    <comment ref="K19" authorId="1">
      <text>
        <r>
          <rPr>
            <b/>
            <sz val="8"/>
            <rFont val="Tahoma"/>
            <family val="0"/>
          </rPr>
          <t>peso specifico del Cemento Armato</t>
        </r>
      </text>
    </comment>
    <comment ref="K20" authorId="1">
      <text>
        <r>
          <rPr>
            <b/>
            <sz val="8"/>
            <rFont val="Tahoma"/>
            <family val="0"/>
          </rPr>
          <t>sovraccarico agente sul cuneo di spinta</t>
        </r>
      </text>
    </comment>
    <comment ref="K21" authorId="1">
      <text>
        <r>
          <rPr>
            <b/>
            <sz val="8"/>
            <rFont val="Tahoma"/>
            <family val="0"/>
          </rPr>
          <t>angolo di attrito interno del terreno</t>
        </r>
      </text>
    </comment>
    <comment ref="K22" authorId="1">
      <text>
        <r>
          <rPr>
            <b/>
            <sz val="8"/>
            <rFont val="Tahoma"/>
            <family val="0"/>
          </rPr>
          <t>inclinazione, rispetto all'orizzontale, della superficie sueriore del terreno</t>
        </r>
      </text>
    </comment>
    <comment ref="K23" authorId="1">
      <text>
        <r>
          <rPr>
            <b/>
            <sz val="8"/>
            <rFont val="Tahoma"/>
            <family val="0"/>
          </rPr>
          <t>inclinazione, rispetto all'orizzontale, del paramento interno del muro</t>
        </r>
      </text>
    </comment>
    <comment ref="K24" authorId="1">
      <text>
        <r>
          <rPr>
            <b/>
            <sz val="8"/>
            <rFont val="Tahoma"/>
            <family val="0"/>
          </rPr>
          <t xml:space="preserve">angolo di attrito terra-muro (ca. 2/3 </t>
        </r>
        <r>
          <rPr>
            <b/>
            <sz val="8"/>
            <rFont val="Symbol"/>
            <family val="1"/>
          </rPr>
          <t>j</t>
        </r>
        <r>
          <rPr>
            <b/>
            <sz val="8"/>
            <rFont val="Tahoma"/>
            <family val="0"/>
          </rPr>
          <t>)</t>
        </r>
      </text>
    </comment>
  </commentList>
</comments>
</file>

<file path=xl/sharedStrings.xml><?xml version="1.0" encoding="utf-8"?>
<sst xmlns="http://schemas.openxmlformats.org/spreadsheetml/2006/main" count="409" uniqueCount="206">
  <si>
    <t>h</t>
  </si>
  <si>
    <t>b</t>
  </si>
  <si>
    <t>Lf</t>
  </si>
  <si>
    <t>hf</t>
  </si>
  <si>
    <t>w</t>
  </si>
  <si>
    <t>k</t>
  </si>
  <si>
    <t xml:space="preserve">   b</t>
  </si>
  <si>
    <t>z</t>
  </si>
  <si>
    <t>j</t>
  </si>
  <si>
    <t>[m]</t>
  </si>
  <si>
    <t>[gradi °]</t>
  </si>
  <si>
    <t>[gradi rad]</t>
  </si>
  <si>
    <r>
      <t>g</t>
    </r>
    <r>
      <rPr>
        <b/>
        <sz val="10"/>
        <rFont val="Arial"/>
        <family val="2"/>
      </rPr>
      <t>m</t>
    </r>
  </si>
  <si>
    <r>
      <t>g</t>
    </r>
    <r>
      <rPr>
        <b/>
        <sz val="10"/>
        <rFont val="Arial"/>
        <family val="2"/>
      </rPr>
      <t>t</t>
    </r>
  </si>
  <si>
    <t>e</t>
  </si>
  <si>
    <t>S</t>
  </si>
  <si>
    <t>y = (h+hf) / 3 =</t>
  </si>
  <si>
    <t>Ka = Coulomb generalizzato =</t>
  </si>
  <si>
    <t>[daN]</t>
  </si>
  <si>
    <t>d</t>
  </si>
  <si>
    <r>
      <t xml:space="preserve">P max = </t>
    </r>
    <r>
      <rPr>
        <sz val="10"/>
        <rFont val="Symbol"/>
        <family val="1"/>
      </rPr>
      <t>g</t>
    </r>
    <r>
      <rPr>
        <sz val="10"/>
        <rFont val="Arial"/>
        <family val="0"/>
      </rPr>
      <t>t * (h+hf) * Ka =</t>
    </r>
  </si>
  <si>
    <t>y</t>
  </si>
  <si>
    <t>Q</t>
  </si>
  <si>
    <t>V</t>
  </si>
  <si>
    <t>VERIFICA A RIBALTAMENTO</t>
  </si>
  <si>
    <t>fig.</t>
  </si>
  <si>
    <t>dimensioni</t>
  </si>
  <si>
    <t>area</t>
  </si>
  <si>
    <t>peso</t>
  </si>
  <si>
    <t>ascissa</t>
  </si>
  <si>
    <t>M stab.</t>
  </si>
  <si>
    <t>--</t>
  </si>
  <si>
    <t xml:space="preserve">    j</t>
  </si>
  <si>
    <t>M rib. = Q * y =</t>
  </si>
  <si>
    <t>[daN*m]</t>
  </si>
  <si>
    <t>=</t>
  </si>
  <si>
    <t>verifica: M stab. / M rib. &gt;= 1,5</t>
  </si>
  <si>
    <t>CONTROLLO ECCENTRICITA'</t>
  </si>
  <si>
    <t>u = (M stab. - M rib.) / N =</t>
  </si>
  <si>
    <t>e = (Lf / 2) - u =</t>
  </si>
  <si>
    <t>Lf / 6 =</t>
  </si>
  <si>
    <t>VERIFICA A SCORRIMENTO</t>
  </si>
  <si>
    <t>f</t>
  </si>
  <si>
    <t>[normat.]</t>
  </si>
  <si>
    <t>N * f =</t>
  </si>
  <si>
    <t>Q =</t>
  </si>
  <si>
    <t>verifica: (N * f) / Q &gt;= 1,3</t>
  </si>
  <si>
    <r>
      <t xml:space="preserve">calcolo angolo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per inclinazione della base: </t>
    </r>
  </si>
  <si>
    <t>K = hf / Lf o arc tan (hf / Lf) =</t>
  </si>
  <si>
    <r>
      <t xml:space="preserve">Nc = (Nq - 1) * arc tg 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=</t>
    </r>
  </si>
  <si>
    <r>
      <t>N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1,5 * (Nq - 1) * tg 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=</t>
    </r>
  </si>
  <si>
    <r>
      <t xml:space="preserve">Nq = e </t>
    </r>
    <r>
      <rPr>
        <vertAlign val="superscript"/>
        <sz val="10"/>
        <rFont val="Symbol"/>
        <family val="1"/>
      </rPr>
      <t>p</t>
    </r>
    <r>
      <rPr>
        <vertAlign val="superscript"/>
        <sz val="10"/>
        <rFont val="Arial"/>
        <family val="0"/>
      </rPr>
      <t>tg</t>
    </r>
    <r>
      <rPr>
        <vertAlign val="superscript"/>
        <sz val="10"/>
        <rFont val="Symbol"/>
        <family val="1"/>
      </rPr>
      <t>j</t>
    </r>
    <r>
      <rPr>
        <sz val="10"/>
        <rFont val="Arial"/>
        <family val="0"/>
      </rPr>
      <t xml:space="preserve"> * tg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/4 + </t>
    </r>
    <r>
      <rPr>
        <sz val="10"/>
        <rFont val="Symbol"/>
        <family val="1"/>
      </rPr>
      <t>j</t>
    </r>
    <r>
      <rPr>
        <sz val="10"/>
        <rFont val="Arial"/>
        <family val="0"/>
      </rPr>
      <t>/2) =</t>
    </r>
  </si>
  <si>
    <t>q</t>
  </si>
  <si>
    <t xml:space="preserve">  q</t>
  </si>
  <si>
    <t>h'</t>
  </si>
  <si>
    <t>modello di calcolo per muri di sostegno in c.a.</t>
  </si>
  <si>
    <r>
      <t xml:space="preserve">S = 1/2 * </t>
    </r>
    <r>
      <rPr>
        <sz val="10"/>
        <rFont val="Symbol"/>
        <family val="1"/>
      </rPr>
      <t>g</t>
    </r>
    <r>
      <rPr>
        <sz val="10"/>
        <rFont val="Arial"/>
        <family val="0"/>
      </rPr>
      <t>t * (h+hf)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Ka * (1+ 2h' / h)  =</t>
    </r>
  </si>
  <si>
    <t>tot.</t>
  </si>
  <si>
    <t>Calcolo spinta e punto di applicazione con sovraccarico</t>
  </si>
  <si>
    <t>y = (h+hf) / 3 * ((h+hf)+3*h') / ((h+hf)+2*h') =</t>
  </si>
  <si>
    <r>
      <t xml:space="preserve">P max = </t>
    </r>
    <r>
      <rPr>
        <sz val="10"/>
        <rFont val="Symbol"/>
        <family val="1"/>
      </rPr>
      <t>g</t>
    </r>
    <r>
      <rPr>
        <sz val="10"/>
        <rFont val="Arial"/>
        <family val="0"/>
      </rPr>
      <t>t * (h+hf+h') * Ka =</t>
    </r>
  </si>
  <si>
    <r>
      <t xml:space="preserve">P min = </t>
    </r>
    <r>
      <rPr>
        <sz val="10"/>
        <rFont val="Symbol"/>
        <family val="1"/>
      </rPr>
      <t>g</t>
    </r>
    <r>
      <rPr>
        <sz val="10"/>
        <rFont val="Arial"/>
        <family val="0"/>
      </rPr>
      <t>t * h' * Ka =</t>
    </r>
  </si>
  <si>
    <t>Calcolo spinta e punto di applicazione in assenza di sovraccarico</t>
  </si>
  <si>
    <r>
      <t xml:space="preserve">S = 1/2 * </t>
    </r>
    <r>
      <rPr>
        <sz val="10"/>
        <rFont val="Symbol"/>
        <family val="1"/>
      </rPr>
      <t>g</t>
    </r>
    <r>
      <rPr>
        <sz val="10"/>
        <rFont val="Arial"/>
        <family val="0"/>
      </rPr>
      <t>t * (h+hf)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Ka =</t>
    </r>
  </si>
  <si>
    <t>calcolo in presenza di sovraccarico</t>
  </si>
  <si>
    <t>calcolo in assenza di sovraccarico</t>
  </si>
  <si>
    <t>M stab. =</t>
  </si>
  <si>
    <t>M rib. =</t>
  </si>
  <si>
    <t>N =</t>
  </si>
  <si>
    <t>P min</t>
  </si>
  <si>
    <t>CALCOLO CAPACITA' PORTANTE DEL TERRENO</t>
  </si>
  <si>
    <t>c</t>
  </si>
  <si>
    <t>[coesione]</t>
  </si>
  <si>
    <t>Ca = c *0,7 =</t>
  </si>
  <si>
    <r>
      <t xml:space="preserve">dq = 1 + 2* tg 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* (1 - sen </t>
    </r>
    <r>
      <rPr>
        <sz val="10"/>
        <rFont val="Symbol"/>
        <family val="1"/>
      </rPr>
      <t>j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* k =</t>
    </r>
  </si>
  <si>
    <t>dc = 1 + 0,4 * k =</t>
  </si>
  <si>
    <r>
      <t>d</t>
    </r>
    <r>
      <rPr>
        <b/>
        <sz val="10"/>
        <rFont val="Symbol"/>
        <family val="1"/>
      </rPr>
      <t>g</t>
    </r>
  </si>
  <si>
    <r>
      <t xml:space="preserve">iq = [ 1 - (0,5*Q) / ( N + H' * Ca * arc tg </t>
    </r>
    <r>
      <rPr>
        <sz val="10"/>
        <rFont val="Symbol"/>
        <family val="1"/>
      </rPr>
      <t>j</t>
    </r>
    <r>
      <rPr>
        <sz val="10"/>
        <rFont val="Arial"/>
        <family val="0"/>
      </rPr>
      <t>)]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</si>
  <si>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i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[ 1 - (0,7*Q) / ( N + H' * Ca * arc tg </t>
    </r>
    <r>
      <rPr>
        <sz val="10"/>
        <rFont val="Symbol"/>
        <family val="1"/>
      </rPr>
      <t>j</t>
    </r>
    <r>
      <rPr>
        <sz val="10"/>
        <rFont val="Arial"/>
        <family val="0"/>
      </rPr>
      <t>)]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</si>
  <si>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t>ic = iq - ( 1 - iq) / ( Nq - 1) =</t>
  </si>
  <si>
    <t>H' = Lf - (2 * e) =</t>
  </si>
  <si>
    <t>VERIFICA A SCHIACCIAMENTO</t>
  </si>
  <si>
    <t xml:space="preserve">A </t>
  </si>
  <si>
    <t>P max</t>
  </si>
  <si>
    <t>h' =</t>
  </si>
  <si>
    <t>h =</t>
  </si>
  <si>
    <t>sezione:</t>
  </si>
  <si>
    <t xml:space="preserve">s = </t>
  </si>
  <si>
    <t>[cm]</t>
  </si>
  <si>
    <t xml:space="preserve">B = </t>
  </si>
  <si>
    <r>
      <t>b</t>
    </r>
    <r>
      <rPr>
        <sz val="10"/>
        <rFont val="Arial"/>
        <family val="0"/>
      </rPr>
      <t xml:space="preserve"> =</t>
    </r>
  </si>
  <si>
    <r>
      <t xml:space="preserve">A's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* As =</t>
    </r>
  </si>
  <si>
    <t>a =</t>
  </si>
  <si>
    <t>a' =</t>
  </si>
  <si>
    <t>R 1 = area rett. =</t>
  </si>
  <si>
    <t>R 2 = area triang. =</t>
  </si>
  <si>
    <t>Arm rip = 20% As =</t>
  </si>
  <si>
    <r>
      <t>q ult. = [c * Nc * dc * ic] + [</t>
    </r>
    <r>
      <rPr>
        <sz val="10"/>
        <rFont val="Symbol"/>
        <family val="1"/>
      </rPr>
      <t>g</t>
    </r>
    <r>
      <rPr>
        <sz val="10"/>
        <rFont val="Arial"/>
        <family val="0"/>
      </rPr>
      <t>t * hf * Nq * dq * iq] + [</t>
    </r>
    <r>
      <rPr>
        <sz val="10"/>
        <rFont val="Symbol"/>
        <family val="1"/>
      </rPr>
      <t>g</t>
    </r>
    <r>
      <rPr>
        <sz val="10"/>
        <rFont val="Arial"/>
        <family val="0"/>
      </rPr>
      <t>t/2 * Lf * N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* d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* i</t>
    </r>
    <r>
      <rPr>
        <sz val="10"/>
        <rFont val="Symbol"/>
        <family val="1"/>
      </rPr>
      <t xml:space="preserve">g </t>
    </r>
    <r>
      <rPr>
        <sz val="10"/>
        <rFont val="Arial"/>
        <family val="0"/>
      </rPr>
      <t>] =</t>
    </r>
  </si>
  <si>
    <t>tabella riassuntiva dei valori:</t>
  </si>
  <si>
    <t>M (metà altezza) = (R 1 * a) + (R 2 * a' ) =</t>
  </si>
  <si>
    <r>
      <t>t</t>
    </r>
    <r>
      <rPr>
        <sz val="10"/>
        <rFont val="Arial"/>
        <family val="0"/>
      </rPr>
      <t xml:space="preserve"> max = T / (0,9 * B * h' ) =</t>
    </r>
  </si>
  <si>
    <r>
      <t>s</t>
    </r>
    <r>
      <rPr>
        <sz val="10"/>
        <rFont val="Arial"/>
        <family val="0"/>
      </rPr>
      <t xml:space="preserve"> max</t>
    </r>
  </si>
  <si>
    <r>
      <t>s</t>
    </r>
    <r>
      <rPr>
        <sz val="10"/>
        <rFont val="Arial"/>
        <family val="0"/>
      </rPr>
      <t>1</t>
    </r>
  </si>
  <si>
    <t xml:space="preserve">   hf</t>
  </si>
  <si>
    <t>3u</t>
  </si>
  <si>
    <t>tabella riepilogativa dei dati:</t>
  </si>
  <si>
    <r>
      <t>s</t>
    </r>
    <r>
      <rPr>
        <b/>
        <sz val="10"/>
        <rFont val="Arial"/>
        <family val="0"/>
      </rPr>
      <t xml:space="preserve"> max</t>
    </r>
  </si>
  <si>
    <r>
      <t>s</t>
    </r>
    <r>
      <rPr>
        <sz val="10"/>
        <rFont val="Arial"/>
        <family val="0"/>
      </rPr>
      <t xml:space="preserve">1 :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max = k : 3u</t>
    </r>
  </si>
  <si>
    <r>
      <t>s</t>
    </r>
    <r>
      <rPr>
        <sz val="10"/>
        <rFont val="Arial"/>
        <family val="2"/>
      </rPr>
      <t>1 = [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max * k] / 3u =</t>
    </r>
  </si>
  <si>
    <r>
      <t>d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</si>
  <si>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t>&gt; calcolo momento e taglio sulla parete a metà altezza</t>
  </si>
  <si>
    <t>&gt; momento e taglio sulla parete alla base</t>
  </si>
  <si>
    <r>
      <t>s</t>
    </r>
    <r>
      <rPr>
        <sz val="10"/>
        <rFont val="Arial"/>
        <family val="0"/>
      </rPr>
      <t xml:space="preserve"> max = (2 * N) / (3 * 100 * u) o [(N + V) / (100 * Lf)] * (1 + (6 * e) / Lf) =</t>
    </r>
  </si>
  <si>
    <t>fuori dal nocciolo</t>
  </si>
  <si>
    <t>dentro il nocciolo</t>
  </si>
  <si>
    <t xml:space="preserve">  P max =</t>
  </si>
  <si>
    <t xml:space="preserve">    P min =</t>
  </si>
  <si>
    <t>relazione finale con riporto dei valori principali</t>
  </si>
  <si>
    <t>spinta senza sovraccarico</t>
  </si>
  <si>
    <t>punto di applicazione</t>
  </si>
  <si>
    <t>spinta con sovraccarico</t>
  </si>
  <si>
    <t>verifica a ribaltamento</t>
  </si>
  <si>
    <t>controllo eccentricità</t>
  </si>
  <si>
    <t>S =</t>
  </si>
  <si>
    <t>y =</t>
  </si>
  <si>
    <t>grado di sicurezza:</t>
  </si>
  <si>
    <t>con sovraccarico:</t>
  </si>
  <si>
    <t>u =</t>
  </si>
  <si>
    <t>e =</t>
  </si>
  <si>
    <t>senza sovraccarico:</t>
  </si>
  <si>
    <t>verifica a scorrimento</t>
  </si>
  <si>
    <t>f =</t>
  </si>
  <si>
    <t>[attr. terra-fondaz.]</t>
  </si>
  <si>
    <r>
      <t>a</t>
    </r>
    <r>
      <rPr>
        <sz val="10"/>
        <rFont val="Arial"/>
        <family val="0"/>
      </rPr>
      <t xml:space="preserve"> =</t>
    </r>
  </si>
  <si>
    <t>verifica a schiacciamento</t>
  </si>
  <si>
    <r>
      <t xml:space="preserve">Q = S * cos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=</t>
    </r>
  </si>
  <si>
    <r>
      <t xml:space="preserve">V = S * sen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=</t>
    </r>
  </si>
  <si>
    <r>
      <t xml:space="preserve">P max (orizz.) = P max * cos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=</t>
    </r>
  </si>
  <si>
    <r>
      <t xml:space="preserve">P min (orizz.) = P min * sen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=</t>
    </r>
  </si>
  <si>
    <t>sforzi alla base della parete</t>
  </si>
  <si>
    <t>As =</t>
  </si>
  <si>
    <t>A's =</t>
  </si>
  <si>
    <t>M =</t>
  </si>
  <si>
    <t>T =</t>
  </si>
  <si>
    <t>M max = Q * y =</t>
  </si>
  <si>
    <t>T = Q =</t>
  </si>
  <si>
    <t>area minima di armatura</t>
  </si>
  <si>
    <t>sforzi a metà parete</t>
  </si>
  <si>
    <t>armatura di ripartizione</t>
  </si>
  <si>
    <t>verifica a taglio</t>
  </si>
  <si>
    <t>pressioni sul terreno</t>
  </si>
  <si>
    <r>
      <t>s</t>
    </r>
    <r>
      <rPr>
        <sz val="10"/>
        <rFont val="Arial"/>
        <family val="0"/>
      </rPr>
      <t>1 =</t>
    </r>
  </si>
  <si>
    <t>T = R 1 + R 2 =</t>
  </si>
  <si>
    <t xml:space="preserve">         =</t>
  </si>
  <si>
    <r>
      <t>s</t>
    </r>
    <r>
      <rPr>
        <sz val="10"/>
        <rFont val="Arial"/>
        <family val="0"/>
      </rPr>
      <t xml:space="preserve"> min</t>
    </r>
  </si>
  <si>
    <t>PROGETTO DELL'ARMATURA</t>
  </si>
  <si>
    <t>3u &gt; Lf</t>
  </si>
  <si>
    <t>3u &lt; Lf</t>
  </si>
  <si>
    <t>CALCOLO PRESSIONI SUL TERRENO</t>
  </si>
  <si>
    <r>
      <t>[daN/m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</si>
  <si>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</si>
  <si>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</si>
  <si>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</si>
  <si>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/m]</t>
    </r>
  </si>
  <si>
    <r>
      <t>[daN/m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</si>
  <si>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m</t>
  </si>
  <si>
    <t>n</t>
  </si>
  <si>
    <r>
      <t>s</t>
    </r>
    <r>
      <rPr>
        <b/>
        <vertAlign val="subscript"/>
        <sz val="10"/>
        <rFont val="Arial"/>
        <family val="2"/>
      </rPr>
      <t>c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amm</t>
    </r>
  </si>
  <si>
    <r>
      <t>s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amm</t>
    </r>
  </si>
  <si>
    <r>
      <t xml:space="preserve">s </t>
    </r>
    <r>
      <rPr>
        <sz val="10"/>
        <rFont val="Arial"/>
        <family val="0"/>
      </rPr>
      <t xml:space="preserve">min :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max = Lf : 3u</t>
    </r>
  </si>
  <si>
    <r>
      <t xml:space="preserve">M </t>
    </r>
    <r>
      <rPr>
        <vertAlign val="subscript"/>
        <sz val="10"/>
        <rFont val="Arial"/>
        <family val="2"/>
      </rPr>
      <t>stab.</t>
    </r>
    <r>
      <rPr>
        <sz val="10"/>
        <rFont val="Arial"/>
        <family val="0"/>
      </rPr>
      <t xml:space="preserve"> =</t>
    </r>
  </si>
  <si>
    <r>
      <t xml:space="preserve">M </t>
    </r>
    <r>
      <rPr>
        <vertAlign val="subscript"/>
        <sz val="10"/>
        <rFont val="Arial"/>
        <family val="2"/>
      </rPr>
      <t>rib.</t>
    </r>
    <r>
      <rPr>
        <sz val="10"/>
        <rFont val="Arial"/>
        <family val="0"/>
      </rPr>
      <t xml:space="preserve"> =</t>
    </r>
  </si>
  <si>
    <r>
      <t xml:space="preserve">q </t>
    </r>
    <r>
      <rPr>
        <vertAlign val="subscript"/>
        <sz val="10"/>
        <rFont val="Arial"/>
        <family val="2"/>
      </rPr>
      <t>ult.</t>
    </r>
    <r>
      <rPr>
        <sz val="10"/>
        <rFont val="Arial"/>
        <family val="0"/>
      </rPr>
      <t xml:space="preserve"> =</t>
    </r>
  </si>
  <si>
    <r>
      <t>s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</si>
  <si>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>rm rip</t>
    </r>
    <r>
      <rPr>
        <sz val="10"/>
        <rFont val="Arial"/>
        <family val="0"/>
      </rPr>
      <t xml:space="preserve"> =</t>
    </r>
  </si>
  <si>
    <r>
      <t>t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c0</t>
    </r>
    <r>
      <rPr>
        <sz val="10"/>
        <rFont val="Arial"/>
        <family val="0"/>
      </rPr>
      <t xml:space="preserve"> =</t>
    </r>
  </si>
  <si>
    <r>
      <t>t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</si>
  <si>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s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</si>
  <si>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s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</si>
  <si>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y = n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/(n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 =</t>
    </r>
  </si>
  <si>
    <t>&gt; i dati di input vanno inseriti esclusivamente nelle caselle con sfondo azzurro</t>
  </si>
  <si>
    <t>cls. Rck</t>
  </si>
  <si>
    <t>Materiali utilizzati:</t>
  </si>
  <si>
    <t>calcestruzzo RcK =</t>
  </si>
  <si>
    <t>acciaio</t>
  </si>
  <si>
    <t>TABELLE MATERIALI</t>
  </si>
  <si>
    <t>calcestruzzo Rck</t>
  </si>
  <si>
    <t>FeB38k</t>
  </si>
  <si>
    <t>FeB44k</t>
  </si>
  <si>
    <r>
      <t xml:space="preserve">CALCOLO </t>
    </r>
    <r>
      <rPr>
        <b/>
        <sz val="11"/>
        <rFont val="Symbol"/>
        <family val="1"/>
      </rPr>
      <t>s</t>
    </r>
    <r>
      <rPr>
        <b/>
        <sz val="10"/>
        <rFont val="Arial"/>
        <family val="0"/>
      </rPr>
      <t xml:space="preserve"> </t>
    </r>
    <r>
      <rPr>
        <b/>
        <vertAlign val="subscript"/>
        <sz val="10"/>
        <rFont val="Arial"/>
        <family val="2"/>
      </rPr>
      <t>MAX</t>
    </r>
  </si>
  <si>
    <r>
      <t xml:space="preserve">verifica: q ult. /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max </t>
    </r>
    <r>
      <rPr>
        <sz val="10"/>
        <rFont val="Symbol"/>
        <family val="1"/>
      </rPr>
      <t xml:space="preserve">³ </t>
    </r>
    <r>
      <rPr>
        <sz val="10"/>
        <rFont val="Arial"/>
        <family val="0"/>
      </rPr>
      <t>2   =&gt;</t>
    </r>
  </si>
  <si>
    <r>
      <t xml:space="preserve">As =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B *          =</t>
    </r>
  </si>
  <si>
    <r>
      <t xml:space="preserve">As =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B *         =</t>
    </r>
  </si>
  <si>
    <r>
      <t xml:space="preserve">&gt; calcolo </t>
    </r>
    <r>
      <rPr>
        <b/>
        <sz val="10"/>
        <rFont val="Symbol"/>
        <family val="1"/>
      </rPr>
      <t>t</t>
    </r>
    <r>
      <rPr>
        <b/>
        <sz val="10"/>
        <rFont val="Arial"/>
        <family val="0"/>
      </rPr>
      <t xml:space="preserve"> max</t>
    </r>
  </si>
  <si>
    <r>
      <t>t</t>
    </r>
    <r>
      <rPr>
        <b/>
        <sz val="10"/>
        <rFont val="Arial"/>
        <family val="2"/>
      </rPr>
      <t xml:space="preserve">c0 </t>
    </r>
  </si>
  <si>
    <r>
      <t>t</t>
    </r>
    <r>
      <rPr>
        <b/>
        <sz val="10"/>
        <rFont val="Arial"/>
        <family val="2"/>
      </rPr>
      <t xml:space="preserve">c1 </t>
    </r>
  </si>
  <si>
    <r>
      <t>t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</si>
  <si>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copriferro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</si>
  <si>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s - copriferro =</t>
    </r>
  </si>
  <si>
    <r>
      <t>a</t>
    </r>
    <r>
      <rPr>
        <sz val="10"/>
        <rFont val="Arial"/>
        <family val="0"/>
      </rPr>
      <t xml:space="preserve"> =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          =</t>
    </r>
  </si>
  <si>
    <r>
      <t>l</t>
    </r>
    <r>
      <rPr>
        <sz val="10"/>
        <rFont val="Arial"/>
        <family val="0"/>
      </rPr>
      <t xml:space="preserve"> = copriferro/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</si>
  <si>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P (h/2) = ( Pmax + Pmin) / 2 =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</si>
  <si>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s - 3,5 =</t>
    </r>
  </si>
  <si>
    <r>
      <t>a</t>
    </r>
    <r>
      <rPr>
        <sz val="10"/>
        <rFont val="Arial"/>
        <family val="0"/>
      </rPr>
      <t xml:space="preserve"> =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        =</t>
    </r>
  </si>
  <si>
    <r>
      <t xml:space="preserve">s </t>
    </r>
    <r>
      <rPr>
        <sz val="10"/>
        <rFont val="Arial"/>
        <family val="0"/>
      </rPr>
      <t>min = [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max * f] / 3u =</t>
    </r>
  </si>
  <si>
    <t xml:space="preserve">              f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</si>
</sst>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[$€-2]\ #,##0;\-[$€-2]\ #,##0"/>
    <numFmt numFmtId="177" formatCode="0.000000"/>
  </numFmts>
  <fonts count="1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Symbol"/>
      <family val="1"/>
    </font>
    <font>
      <vertAlign val="subscript"/>
      <sz val="10"/>
      <name val="Arial"/>
      <family val="2"/>
    </font>
    <font>
      <b/>
      <sz val="11"/>
      <name val="Symbol"/>
      <family val="1"/>
    </font>
    <font>
      <b/>
      <vertAlign val="subscript"/>
      <sz val="10"/>
      <name val="Arial"/>
      <family val="2"/>
    </font>
    <font>
      <b/>
      <sz val="8"/>
      <name val="Tahoma"/>
      <family val="0"/>
    </font>
    <font>
      <b/>
      <sz val="8"/>
      <name val="Symbol"/>
      <family val="1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11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75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 quotePrefix="1">
      <alignment horizontal="center"/>
    </xf>
    <xf numFmtId="2" fontId="0" fillId="0" borderId="0" xfId="0" applyNumberFormat="1" applyBorder="1" applyAlignment="1" quotePrefix="1">
      <alignment horizontal="center"/>
    </xf>
    <xf numFmtId="175" fontId="0" fillId="0" borderId="5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0" fontId="0" fillId="0" borderId="0" xfId="19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2" borderId="10" xfId="0" applyNumberFormat="1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right" vertical="center"/>
    </xf>
    <xf numFmtId="172" fontId="0" fillId="2" borderId="10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left"/>
    </xf>
    <xf numFmtId="177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9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43</xdr:row>
      <xdr:rowOff>28575</xdr:rowOff>
    </xdr:from>
    <xdr:to>
      <xdr:col>5</xdr:col>
      <xdr:colOff>304800</xdr:colOff>
      <xdr:row>62</xdr:row>
      <xdr:rowOff>114300</xdr:rowOff>
    </xdr:to>
    <xdr:grpSp>
      <xdr:nvGrpSpPr>
        <xdr:cNvPr id="1" name="Group 76"/>
        <xdr:cNvGrpSpPr>
          <a:grpSpLocks/>
        </xdr:cNvGrpSpPr>
      </xdr:nvGrpSpPr>
      <xdr:grpSpPr>
        <a:xfrm>
          <a:off x="752475" y="7105650"/>
          <a:ext cx="2600325" cy="3162300"/>
          <a:chOff x="79" y="702"/>
          <a:chExt cx="273" cy="332"/>
        </a:xfrm>
        <a:solidFill>
          <a:srgbClr val="FFFFFF"/>
        </a:solidFill>
      </xdr:grpSpPr>
      <xdr:sp>
        <xdr:nvSpPr>
          <xdr:cNvPr id="2" name="Line 32"/>
          <xdr:cNvSpPr>
            <a:spLocks/>
          </xdr:cNvSpPr>
        </xdr:nvSpPr>
        <xdr:spPr>
          <a:xfrm>
            <a:off x="146" y="738"/>
            <a:ext cx="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3"/>
          <xdr:cNvSpPr>
            <a:spLocks/>
          </xdr:cNvSpPr>
        </xdr:nvSpPr>
        <xdr:spPr>
          <a:xfrm>
            <a:off x="185" y="739"/>
            <a:ext cx="0" cy="2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 flipH="1">
            <a:off x="128" y="738"/>
            <a:ext cx="18" cy="2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 flipH="1">
            <a:off x="80" y="998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6"/>
          <xdr:cNvSpPr>
            <a:spLocks/>
          </xdr:cNvSpPr>
        </xdr:nvSpPr>
        <xdr:spPr>
          <a:xfrm>
            <a:off x="79" y="998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>
            <a:off x="79" y="1034"/>
            <a:ext cx="20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8"/>
          <xdr:cNvSpPr>
            <a:spLocks/>
          </xdr:cNvSpPr>
        </xdr:nvSpPr>
        <xdr:spPr>
          <a:xfrm flipV="1">
            <a:off x="279" y="998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9"/>
          <xdr:cNvSpPr>
            <a:spLocks/>
          </xdr:cNvSpPr>
        </xdr:nvSpPr>
        <xdr:spPr>
          <a:xfrm>
            <a:off x="185" y="998"/>
            <a:ext cx="9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 flipV="1">
            <a:off x="184" y="711"/>
            <a:ext cx="93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1"/>
          <xdr:cNvSpPr>
            <a:spLocks/>
          </xdr:cNvSpPr>
        </xdr:nvSpPr>
        <xdr:spPr>
          <a:xfrm flipV="1">
            <a:off x="278" y="711"/>
            <a:ext cx="0" cy="28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184" y="738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9"/>
          <xdr:cNvSpPr>
            <a:spLocks/>
          </xdr:cNvSpPr>
        </xdr:nvSpPr>
        <xdr:spPr>
          <a:xfrm>
            <a:off x="126" y="99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0"/>
          <xdr:cNvSpPr>
            <a:spLocks/>
          </xdr:cNvSpPr>
        </xdr:nvSpPr>
        <xdr:spPr>
          <a:xfrm>
            <a:off x="146" y="737"/>
            <a:ext cx="0" cy="2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55"/>
          <xdr:cNvSpPr txBox="1">
            <a:spLocks noChangeArrowheads="1"/>
          </xdr:cNvSpPr>
        </xdr:nvSpPr>
        <xdr:spPr>
          <a:xfrm>
            <a:off x="110" y="954"/>
            <a:ext cx="1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6" name="TextBox 56"/>
          <xdr:cNvSpPr txBox="1">
            <a:spLocks noChangeArrowheads="1"/>
          </xdr:cNvSpPr>
        </xdr:nvSpPr>
        <xdr:spPr>
          <a:xfrm>
            <a:off x="133" y="1007"/>
            <a:ext cx="1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7" name="TextBox 57"/>
          <xdr:cNvSpPr txBox="1">
            <a:spLocks noChangeArrowheads="1"/>
          </xdr:cNvSpPr>
        </xdr:nvSpPr>
        <xdr:spPr>
          <a:xfrm>
            <a:off x="159" y="933"/>
            <a:ext cx="1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8" name="TextBox 58"/>
          <xdr:cNvSpPr txBox="1">
            <a:spLocks noChangeArrowheads="1"/>
          </xdr:cNvSpPr>
        </xdr:nvSpPr>
        <xdr:spPr>
          <a:xfrm>
            <a:off x="227" y="887"/>
            <a:ext cx="1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9" name="TextBox 59"/>
          <xdr:cNvSpPr txBox="1">
            <a:spLocks noChangeArrowheads="1"/>
          </xdr:cNvSpPr>
        </xdr:nvSpPr>
        <xdr:spPr>
          <a:xfrm>
            <a:off x="228" y="702"/>
            <a:ext cx="1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0" name="Line 65"/>
          <xdr:cNvSpPr>
            <a:spLocks/>
          </xdr:cNvSpPr>
        </xdr:nvSpPr>
        <xdr:spPr>
          <a:xfrm>
            <a:off x="282" y="710"/>
            <a:ext cx="0" cy="3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6"/>
          <xdr:cNvSpPr>
            <a:spLocks/>
          </xdr:cNvSpPr>
        </xdr:nvSpPr>
        <xdr:spPr>
          <a:xfrm flipV="1">
            <a:off x="283" y="1015"/>
            <a:ext cx="6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7"/>
          <xdr:cNvSpPr>
            <a:spLocks/>
          </xdr:cNvSpPr>
        </xdr:nvSpPr>
        <xdr:spPr>
          <a:xfrm>
            <a:off x="312" y="703"/>
            <a:ext cx="40" cy="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73"/>
          <xdr:cNvSpPr>
            <a:spLocks/>
          </xdr:cNvSpPr>
        </xdr:nvSpPr>
        <xdr:spPr>
          <a:xfrm flipV="1">
            <a:off x="282" y="702"/>
            <a:ext cx="2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98</xdr:row>
      <xdr:rowOff>38100</xdr:rowOff>
    </xdr:from>
    <xdr:to>
      <xdr:col>9</xdr:col>
      <xdr:colOff>504825</xdr:colOff>
      <xdr:row>98</xdr:row>
      <xdr:rowOff>123825</xdr:rowOff>
    </xdr:to>
    <xdr:sp>
      <xdr:nvSpPr>
        <xdr:cNvPr id="24" name="AutoShape 74"/>
        <xdr:cNvSpPr>
          <a:spLocks/>
        </xdr:cNvSpPr>
      </xdr:nvSpPr>
      <xdr:spPr>
        <a:xfrm>
          <a:off x="5591175" y="16078200"/>
          <a:ext cx="400050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62</xdr:row>
      <xdr:rowOff>57150</xdr:rowOff>
    </xdr:from>
    <xdr:to>
      <xdr:col>1</xdr:col>
      <xdr:colOff>190500</xdr:colOff>
      <xdr:row>62</xdr:row>
      <xdr:rowOff>142875</xdr:rowOff>
    </xdr:to>
    <xdr:sp>
      <xdr:nvSpPr>
        <xdr:cNvPr id="25" name="Oval 78"/>
        <xdr:cNvSpPr>
          <a:spLocks/>
        </xdr:cNvSpPr>
      </xdr:nvSpPr>
      <xdr:spPr>
        <a:xfrm>
          <a:off x="714375" y="1021080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135</xdr:row>
      <xdr:rowOff>38100</xdr:rowOff>
    </xdr:from>
    <xdr:to>
      <xdr:col>4</xdr:col>
      <xdr:colOff>238125</xdr:colOff>
      <xdr:row>138</xdr:row>
      <xdr:rowOff>133350</xdr:rowOff>
    </xdr:to>
    <xdr:grpSp>
      <xdr:nvGrpSpPr>
        <xdr:cNvPr id="26" name="Group 242"/>
        <xdr:cNvGrpSpPr>
          <a:grpSpLocks/>
        </xdr:cNvGrpSpPr>
      </xdr:nvGrpSpPr>
      <xdr:grpSpPr>
        <a:xfrm>
          <a:off x="714375" y="22278975"/>
          <a:ext cx="1962150" cy="581025"/>
          <a:chOff x="75" y="2412"/>
          <a:chExt cx="206" cy="61"/>
        </a:xfrm>
        <a:solidFill>
          <a:srgbClr val="FFFFFF"/>
        </a:solidFill>
      </xdr:grpSpPr>
      <xdr:sp>
        <xdr:nvSpPr>
          <xdr:cNvPr id="27" name="Rectangle 91"/>
          <xdr:cNvSpPr>
            <a:spLocks/>
          </xdr:cNvSpPr>
        </xdr:nvSpPr>
        <xdr:spPr>
          <a:xfrm>
            <a:off x="75" y="2413"/>
            <a:ext cx="169" cy="4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92"/>
          <xdr:cNvSpPr>
            <a:spLocks/>
          </xdr:cNvSpPr>
        </xdr:nvSpPr>
        <xdr:spPr>
          <a:xfrm flipH="1">
            <a:off x="281" y="2412"/>
            <a:ext cx="0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3"/>
          <xdr:cNvSpPr>
            <a:spLocks/>
          </xdr:cNvSpPr>
        </xdr:nvSpPr>
        <xdr:spPr>
          <a:xfrm>
            <a:off x="75" y="2473"/>
            <a:ext cx="16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142</xdr:row>
      <xdr:rowOff>133350</xdr:rowOff>
    </xdr:from>
    <xdr:to>
      <xdr:col>3</xdr:col>
      <xdr:colOff>342900</xdr:colOff>
      <xdr:row>146</xdr:row>
      <xdr:rowOff>9525</xdr:rowOff>
    </xdr:to>
    <xdr:sp>
      <xdr:nvSpPr>
        <xdr:cNvPr id="30" name="AutoShape 99"/>
        <xdr:cNvSpPr>
          <a:spLocks/>
        </xdr:cNvSpPr>
      </xdr:nvSpPr>
      <xdr:spPr>
        <a:xfrm>
          <a:off x="2105025" y="23545800"/>
          <a:ext cx="6667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151</xdr:row>
      <xdr:rowOff>28575</xdr:rowOff>
    </xdr:from>
    <xdr:to>
      <xdr:col>11</xdr:col>
      <xdr:colOff>171450</xdr:colOff>
      <xdr:row>166</xdr:row>
      <xdr:rowOff>0</xdr:rowOff>
    </xdr:to>
    <xdr:grpSp>
      <xdr:nvGrpSpPr>
        <xdr:cNvPr id="31" name="Group 36"/>
        <xdr:cNvGrpSpPr>
          <a:grpSpLocks/>
        </xdr:cNvGrpSpPr>
      </xdr:nvGrpSpPr>
      <xdr:grpSpPr>
        <a:xfrm>
          <a:off x="762000" y="25050750"/>
          <a:ext cx="6115050" cy="2400300"/>
          <a:chOff x="100" y="3418"/>
          <a:chExt cx="803" cy="326"/>
        </a:xfrm>
        <a:solidFill>
          <a:srgbClr val="FFFFFF"/>
        </a:solidFill>
      </xdr:grpSpPr>
      <xdr:sp>
        <xdr:nvSpPr>
          <xdr:cNvPr id="32" name="Oval 118"/>
          <xdr:cNvSpPr>
            <a:spLocks/>
          </xdr:cNvSpPr>
        </xdr:nvSpPr>
        <xdr:spPr>
          <a:xfrm>
            <a:off x="380" y="3418"/>
            <a:ext cx="523" cy="32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3"/>
          <xdr:cNvSpPr>
            <a:spLocks/>
          </xdr:cNvSpPr>
        </xdr:nvSpPr>
        <xdr:spPr>
          <a:xfrm>
            <a:off x="180" y="3479"/>
            <a:ext cx="0" cy="2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4"/>
          <xdr:cNvSpPr>
            <a:spLocks/>
          </xdr:cNvSpPr>
        </xdr:nvSpPr>
        <xdr:spPr>
          <a:xfrm>
            <a:off x="224" y="3578"/>
            <a:ext cx="0" cy="10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106"/>
          <xdr:cNvSpPr>
            <a:spLocks/>
          </xdr:cNvSpPr>
        </xdr:nvSpPr>
        <xdr:spPr>
          <a:xfrm>
            <a:off x="158" y="3682"/>
            <a:ext cx="47" cy="17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7"/>
          <xdr:cNvSpPr>
            <a:spLocks/>
          </xdr:cNvSpPr>
        </xdr:nvSpPr>
        <xdr:spPr>
          <a:xfrm>
            <a:off x="101" y="3682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08"/>
          <xdr:cNvSpPr>
            <a:spLocks/>
          </xdr:cNvSpPr>
        </xdr:nvSpPr>
        <xdr:spPr>
          <a:xfrm flipV="1">
            <a:off x="103" y="3476"/>
            <a:ext cx="65" cy="2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09"/>
          <xdr:cNvSpPr>
            <a:spLocks/>
          </xdr:cNvSpPr>
        </xdr:nvSpPr>
        <xdr:spPr>
          <a:xfrm flipH="1">
            <a:off x="168" y="347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10"/>
          <xdr:cNvSpPr>
            <a:spLocks/>
          </xdr:cNvSpPr>
        </xdr:nvSpPr>
        <xdr:spPr>
          <a:xfrm flipH="1">
            <a:off x="138" y="3577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12"/>
          <xdr:cNvSpPr>
            <a:spLocks/>
          </xdr:cNvSpPr>
        </xdr:nvSpPr>
        <xdr:spPr>
          <a:xfrm>
            <a:off x="100" y="3470"/>
            <a:ext cx="126" cy="1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13"/>
          <xdr:cNvSpPr>
            <a:spLocks/>
          </xdr:cNvSpPr>
        </xdr:nvSpPr>
        <xdr:spPr>
          <a:xfrm rot="5400000">
            <a:off x="295" y="3366"/>
            <a:ext cx="24" cy="227"/>
          </a:xfrm>
          <a:prstGeom prst="leftBracket">
            <a:avLst>
              <a:gd name="adj" fmla="val -17523"/>
            </a:avLst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14"/>
          <xdr:cNvSpPr>
            <a:spLocks/>
          </xdr:cNvSpPr>
        </xdr:nvSpPr>
        <xdr:spPr>
          <a:xfrm>
            <a:off x="532" y="3474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15"/>
          <xdr:cNvSpPr>
            <a:spLocks/>
          </xdr:cNvSpPr>
        </xdr:nvSpPr>
        <xdr:spPr>
          <a:xfrm flipH="1">
            <a:off x="480" y="3474"/>
            <a:ext cx="49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6"/>
          <xdr:cNvSpPr>
            <a:spLocks/>
          </xdr:cNvSpPr>
        </xdr:nvSpPr>
        <xdr:spPr>
          <a:xfrm>
            <a:off x="612" y="3474"/>
            <a:ext cx="0" cy="2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17"/>
          <xdr:cNvSpPr>
            <a:spLocks/>
          </xdr:cNvSpPr>
        </xdr:nvSpPr>
        <xdr:spPr>
          <a:xfrm>
            <a:off x="479" y="3684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19"/>
          <xdr:cNvSpPr>
            <a:spLocks/>
          </xdr:cNvSpPr>
        </xdr:nvSpPr>
        <xdr:spPr>
          <a:xfrm>
            <a:off x="612" y="3684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0"/>
          <xdr:cNvSpPr>
            <a:spLocks/>
          </xdr:cNvSpPr>
        </xdr:nvSpPr>
        <xdr:spPr>
          <a:xfrm flipH="1">
            <a:off x="476" y="3684"/>
            <a:ext cx="4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21"/>
          <xdr:cNvSpPr>
            <a:spLocks/>
          </xdr:cNvSpPr>
        </xdr:nvSpPr>
        <xdr:spPr>
          <a:xfrm>
            <a:off x="529" y="3474"/>
            <a:ext cx="0" cy="21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122"/>
          <xdr:cNvSpPr txBox="1">
            <a:spLocks noChangeArrowheads="1"/>
          </xdr:cNvSpPr>
        </xdr:nvSpPr>
        <xdr:spPr>
          <a:xfrm>
            <a:off x="256" y="3437"/>
            <a:ext cx="11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ingrandimento</a:t>
            </a:r>
          </a:p>
        </xdr:txBody>
      </xdr:sp>
      <xdr:sp>
        <xdr:nvSpPr>
          <xdr:cNvPr id="50" name="Line 123"/>
          <xdr:cNvSpPr>
            <a:spLocks/>
          </xdr:cNvSpPr>
        </xdr:nvSpPr>
        <xdr:spPr>
          <a:xfrm>
            <a:off x="529" y="3474"/>
            <a:ext cx="83" cy="2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24"/>
          <xdr:cNvSpPr>
            <a:spLocks/>
          </xdr:cNvSpPr>
        </xdr:nvSpPr>
        <xdr:spPr>
          <a:xfrm flipV="1">
            <a:off x="527" y="3474"/>
            <a:ext cx="83" cy="2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25"/>
          <xdr:cNvSpPr>
            <a:spLocks/>
          </xdr:cNvSpPr>
        </xdr:nvSpPr>
        <xdr:spPr>
          <a:xfrm>
            <a:off x="569" y="3577"/>
            <a:ext cx="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26"/>
          <xdr:cNvSpPr>
            <a:spLocks/>
          </xdr:cNvSpPr>
        </xdr:nvSpPr>
        <xdr:spPr>
          <a:xfrm flipV="1">
            <a:off x="513" y="363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27"/>
          <xdr:cNvSpPr>
            <a:spLocks/>
          </xdr:cNvSpPr>
        </xdr:nvSpPr>
        <xdr:spPr>
          <a:xfrm>
            <a:off x="513" y="3633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128"/>
          <xdr:cNvSpPr txBox="1">
            <a:spLocks noChangeArrowheads="1"/>
          </xdr:cNvSpPr>
        </xdr:nvSpPr>
        <xdr:spPr>
          <a:xfrm>
            <a:off x="630" y="3534"/>
            <a:ext cx="25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6" name="TextBox 129"/>
          <xdr:cNvSpPr txBox="1">
            <a:spLocks noChangeArrowheads="1"/>
          </xdr:cNvSpPr>
        </xdr:nvSpPr>
        <xdr:spPr>
          <a:xfrm>
            <a:off x="553" y="3638"/>
            <a:ext cx="25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7" name="Line 130"/>
          <xdr:cNvSpPr>
            <a:spLocks/>
          </xdr:cNvSpPr>
        </xdr:nvSpPr>
        <xdr:spPr>
          <a:xfrm>
            <a:off x="658" y="3634"/>
            <a:ext cx="0" cy="5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31"/>
          <xdr:cNvSpPr>
            <a:spLocks/>
          </xdr:cNvSpPr>
        </xdr:nvSpPr>
        <xdr:spPr>
          <a:xfrm>
            <a:off x="647" y="3577"/>
            <a:ext cx="0" cy="10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132"/>
          <xdr:cNvSpPr txBox="1">
            <a:spLocks noChangeArrowheads="1"/>
          </xdr:cNvSpPr>
        </xdr:nvSpPr>
        <xdr:spPr>
          <a:xfrm>
            <a:off x="101" y="3691"/>
            <a:ext cx="45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max</a:t>
            </a:r>
          </a:p>
        </xdr:txBody>
      </xdr:sp>
      <xdr:sp>
        <xdr:nvSpPr>
          <xdr:cNvPr id="60" name="TextBox 133"/>
          <xdr:cNvSpPr txBox="1">
            <a:spLocks noChangeArrowheads="1"/>
          </xdr:cNvSpPr>
        </xdr:nvSpPr>
        <xdr:spPr>
          <a:xfrm>
            <a:off x="548" y="3437"/>
            <a:ext cx="45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min</a:t>
            </a:r>
          </a:p>
        </xdr:txBody>
      </xdr:sp>
      <xdr:sp>
        <xdr:nvSpPr>
          <xdr:cNvPr id="61" name="TextBox 134"/>
          <xdr:cNvSpPr txBox="1">
            <a:spLocks noChangeArrowheads="1"/>
          </xdr:cNvSpPr>
        </xdr:nvSpPr>
        <xdr:spPr>
          <a:xfrm>
            <a:off x="523" y="3691"/>
            <a:ext cx="5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(h/2)</a:t>
            </a:r>
          </a:p>
        </xdr:txBody>
      </xdr:sp>
    </xdr:grpSp>
    <xdr:clientData/>
  </xdr:twoCellAnchor>
  <xdr:twoCellAnchor>
    <xdr:from>
      <xdr:col>0</xdr:col>
      <xdr:colOff>247650</xdr:colOff>
      <xdr:row>177</xdr:row>
      <xdr:rowOff>114300</xdr:rowOff>
    </xdr:from>
    <xdr:to>
      <xdr:col>3</xdr:col>
      <xdr:colOff>219075</xdr:colOff>
      <xdr:row>180</xdr:row>
      <xdr:rowOff>142875</xdr:rowOff>
    </xdr:to>
    <xdr:grpSp>
      <xdr:nvGrpSpPr>
        <xdr:cNvPr id="62" name="Group 245"/>
        <xdr:cNvGrpSpPr>
          <a:grpSpLocks/>
        </xdr:cNvGrpSpPr>
      </xdr:nvGrpSpPr>
      <xdr:grpSpPr>
        <a:xfrm>
          <a:off x="247650" y="29365575"/>
          <a:ext cx="1800225" cy="590550"/>
          <a:chOff x="75" y="3182"/>
          <a:chExt cx="206" cy="56"/>
        </a:xfrm>
        <a:solidFill>
          <a:srgbClr val="FFFFFF"/>
        </a:solidFill>
      </xdr:grpSpPr>
      <xdr:sp>
        <xdr:nvSpPr>
          <xdr:cNvPr id="63" name="Rectangle 135"/>
          <xdr:cNvSpPr>
            <a:spLocks/>
          </xdr:cNvSpPr>
        </xdr:nvSpPr>
        <xdr:spPr>
          <a:xfrm>
            <a:off x="75" y="3183"/>
            <a:ext cx="169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36"/>
          <xdr:cNvSpPr>
            <a:spLocks/>
          </xdr:cNvSpPr>
        </xdr:nvSpPr>
        <xdr:spPr>
          <a:xfrm>
            <a:off x="281" y="3182"/>
            <a:ext cx="0" cy="3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37"/>
          <xdr:cNvSpPr>
            <a:spLocks/>
          </xdr:cNvSpPr>
        </xdr:nvSpPr>
        <xdr:spPr>
          <a:xfrm>
            <a:off x="75" y="3238"/>
            <a:ext cx="16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119</xdr:row>
      <xdr:rowOff>76200</xdr:rowOff>
    </xdr:from>
    <xdr:to>
      <xdr:col>2</xdr:col>
      <xdr:colOff>523875</xdr:colOff>
      <xdr:row>130</xdr:row>
      <xdr:rowOff>142875</xdr:rowOff>
    </xdr:to>
    <xdr:grpSp>
      <xdr:nvGrpSpPr>
        <xdr:cNvPr id="66" name="Group 243"/>
        <xdr:cNvGrpSpPr>
          <a:grpSpLocks/>
        </xdr:cNvGrpSpPr>
      </xdr:nvGrpSpPr>
      <xdr:grpSpPr>
        <a:xfrm>
          <a:off x="723900" y="19602450"/>
          <a:ext cx="1019175" cy="1933575"/>
          <a:chOff x="76" y="2144"/>
          <a:chExt cx="107" cy="194"/>
        </a:xfrm>
        <a:solidFill>
          <a:srgbClr val="FFFFFF"/>
        </a:solidFill>
      </xdr:grpSpPr>
      <xdr:sp>
        <xdr:nvSpPr>
          <xdr:cNvPr id="67" name="Line 80"/>
          <xdr:cNvSpPr>
            <a:spLocks/>
          </xdr:cNvSpPr>
        </xdr:nvSpPr>
        <xdr:spPr>
          <a:xfrm>
            <a:off x="139" y="2171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1"/>
          <xdr:cNvSpPr>
            <a:spLocks/>
          </xdr:cNvSpPr>
        </xdr:nvSpPr>
        <xdr:spPr>
          <a:xfrm>
            <a:off x="183" y="2170"/>
            <a:ext cx="0" cy="15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84"/>
          <xdr:cNvSpPr>
            <a:spLocks/>
          </xdr:cNvSpPr>
        </xdr:nvSpPr>
        <xdr:spPr>
          <a:xfrm>
            <a:off x="121" y="2325"/>
            <a:ext cx="38" cy="13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5"/>
          <xdr:cNvSpPr>
            <a:spLocks/>
          </xdr:cNvSpPr>
        </xdr:nvSpPr>
        <xdr:spPr>
          <a:xfrm flipV="1">
            <a:off x="139" y="214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6"/>
          <xdr:cNvSpPr>
            <a:spLocks/>
          </xdr:cNvSpPr>
        </xdr:nvSpPr>
        <xdr:spPr>
          <a:xfrm>
            <a:off x="76" y="23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7"/>
          <xdr:cNvSpPr>
            <a:spLocks/>
          </xdr:cNvSpPr>
        </xdr:nvSpPr>
        <xdr:spPr>
          <a:xfrm flipV="1">
            <a:off x="77" y="2171"/>
            <a:ext cx="52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8"/>
          <xdr:cNvSpPr>
            <a:spLocks/>
          </xdr:cNvSpPr>
        </xdr:nvSpPr>
        <xdr:spPr>
          <a:xfrm flipH="1">
            <a:off x="129" y="217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9"/>
          <xdr:cNvSpPr>
            <a:spLocks/>
          </xdr:cNvSpPr>
        </xdr:nvSpPr>
        <xdr:spPr>
          <a:xfrm flipV="1">
            <a:off x="130" y="2145"/>
            <a:ext cx="9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201"/>
          <xdr:cNvSpPr>
            <a:spLocks/>
          </xdr:cNvSpPr>
        </xdr:nvSpPr>
        <xdr:spPr>
          <a:xfrm flipV="1">
            <a:off x="183" y="2147"/>
            <a:ext cx="0" cy="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220</xdr:row>
      <xdr:rowOff>47625</xdr:rowOff>
    </xdr:from>
    <xdr:to>
      <xdr:col>7</xdr:col>
      <xdr:colOff>142875</xdr:colOff>
      <xdr:row>220</xdr:row>
      <xdr:rowOff>142875</xdr:rowOff>
    </xdr:to>
    <xdr:sp>
      <xdr:nvSpPr>
        <xdr:cNvPr id="76" name="AutoShape 210"/>
        <xdr:cNvSpPr>
          <a:spLocks/>
        </xdr:cNvSpPr>
      </xdr:nvSpPr>
      <xdr:spPr>
        <a:xfrm>
          <a:off x="4010025" y="36547425"/>
          <a:ext cx="40005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104</xdr:row>
      <xdr:rowOff>47625</xdr:rowOff>
    </xdr:from>
    <xdr:to>
      <xdr:col>2</xdr:col>
      <xdr:colOff>438150</xdr:colOff>
      <xdr:row>104</xdr:row>
      <xdr:rowOff>133350</xdr:rowOff>
    </xdr:to>
    <xdr:sp>
      <xdr:nvSpPr>
        <xdr:cNvPr id="77" name="AutoShape 234"/>
        <xdr:cNvSpPr>
          <a:spLocks/>
        </xdr:cNvSpPr>
      </xdr:nvSpPr>
      <xdr:spPr>
        <a:xfrm rot="16200000">
          <a:off x="514350" y="17135475"/>
          <a:ext cx="11430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104</xdr:row>
      <xdr:rowOff>57150</xdr:rowOff>
    </xdr:from>
    <xdr:to>
      <xdr:col>6</xdr:col>
      <xdr:colOff>180975</xdr:colOff>
      <xdr:row>104</xdr:row>
      <xdr:rowOff>142875</xdr:rowOff>
    </xdr:to>
    <xdr:sp>
      <xdr:nvSpPr>
        <xdr:cNvPr id="78" name="AutoShape 235"/>
        <xdr:cNvSpPr>
          <a:spLocks/>
        </xdr:cNvSpPr>
      </xdr:nvSpPr>
      <xdr:spPr>
        <a:xfrm rot="16200000">
          <a:off x="1771650" y="17145000"/>
          <a:ext cx="206692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4</xdr:row>
      <xdr:rowOff>85725</xdr:rowOff>
    </xdr:from>
    <xdr:to>
      <xdr:col>9</xdr:col>
      <xdr:colOff>85725</xdr:colOff>
      <xdr:row>25</xdr:row>
      <xdr:rowOff>133350</xdr:rowOff>
    </xdr:to>
    <xdr:grpSp>
      <xdr:nvGrpSpPr>
        <xdr:cNvPr id="79" name="Group 687"/>
        <xdr:cNvGrpSpPr>
          <a:grpSpLocks/>
        </xdr:cNvGrpSpPr>
      </xdr:nvGrpSpPr>
      <xdr:grpSpPr>
        <a:xfrm>
          <a:off x="819150" y="771525"/>
          <a:ext cx="4752975" cy="3505200"/>
          <a:chOff x="86" y="37"/>
          <a:chExt cx="499" cy="368"/>
        </a:xfrm>
        <a:solidFill>
          <a:srgbClr val="FFFFFF"/>
        </a:solidFill>
      </xdr:grpSpPr>
      <xdr:sp>
        <xdr:nvSpPr>
          <xdr:cNvPr id="80" name="Line 25"/>
          <xdr:cNvSpPr>
            <a:spLocks/>
          </xdr:cNvSpPr>
        </xdr:nvSpPr>
        <xdr:spPr>
          <a:xfrm flipV="1">
            <a:off x="443" y="283"/>
            <a:ext cx="141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7"/>
          <xdr:cNvSpPr>
            <a:spLocks/>
          </xdr:cNvSpPr>
        </xdr:nvSpPr>
        <xdr:spPr>
          <a:xfrm>
            <a:off x="585" y="28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8"/>
          <xdr:cNvSpPr>
            <a:spLocks/>
          </xdr:cNvSpPr>
        </xdr:nvSpPr>
        <xdr:spPr>
          <a:xfrm flipV="1">
            <a:off x="443" y="283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0"/>
          <xdr:cNvSpPr>
            <a:spLocks/>
          </xdr:cNvSpPr>
        </xdr:nvSpPr>
        <xdr:spPr>
          <a:xfrm flipH="1">
            <a:off x="439" y="28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1"/>
          <xdr:cNvSpPr>
            <a:spLocks/>
          </xdr:cNvSpPr>
        </xdr:nvSpPr>
        <xdr:spPr>
          <a:xfrm flipH="1">
            <a:off x="444" y="33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"/>
          <xdr:cNvSpPr>
            <a:spLocks/>
          </xdr:cNvSpPr>
        </xdr:nvSpPr>
        <xdr:spPr>
          <a:xfrm>
            <a:off x="192" y="94"/>
            <a:ext cx="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"/>
          <xdr:cNvSpPr>
            <a:spLocks/>
          </xdr:cNvSpPr>
        </xdr:nvSpPr>
        <xdr:spPr>
          <a:xfrm>
            <a:off x="231" y="95"/>
            <a:ext cx="0" cy="2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"/>
          <xdr:cNvSpPr>
            <a:spLocks/>
          </xdr:cNvSpPr>
        </xdr:nvSpPr>
        <xdr:spPr>
          <a:xfrm flipH="1">
            <a:off x="174" y="94"/>
            <a:ext cx="18" cy="2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"/>
          <xdr:cNvSpPr>
            <a:spLocks/>
          </xdr:cNvSpPr>
        </xdr:nvSpPr>
        <xdr:spPr>
          <a:xfrm flipH="1">
            <a:off x="126" y="345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5"/>
          <xdr:cNvSpPr>
            <a:spLocks/>
          </xdr:cNvSpPr>
        </xdr:nvSpPr>
        <xdr:spPr>
          <a:xfrm>
            <a:off x="125" y="345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"/>
          <xdr:cNvSpPr>
            <a:spLocks/>
          </xdr:cNvSpPr>
        </xdr:nvSpPr>
        <xdr:spPr>
          <a:xfrm>
            <a:off x="125" y="380"/>
            <a:ext cx="20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"/>
          <xdr:cNvSpPr>
            <a:spLocks/>
          </xdr:cNvSpPr>
        </xdr:nvSpPr>
        <xdr:spPr>
          <a:xfrm flipV="1">
            <a:off x="325" y="345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8"/>
          <xdr:cNvSpPr>
            <a:spLocks/>
          </xdr:cNvSpPr>
        </xdr:nvSpPr>
        <xdr:spPr>
          <a:xfrm>
            <a:off x="231" y="345"/>
            <a:ext cx="9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"/>
          <xdr:cNvSpPr>
            <a:spLocks/>
          </xdr:cNvSpPr>
        </xdr:nvSpPr>
        <xdr:spPr>
          <a:xfrm flipV="1">
            <a:off x="230" y="69"/>
            <a:ext cx="9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0"/>
          <xdr:cNvSpPr>
            <a:spLocks/>
          </xdr:cNvSpPr>
        </xdr:nvSpPr>
        <xdr:spPr>
          <a:xfrm flipV="1">
            <a:off x="324" y="69"/>
            <a:ext cx="0" cy="2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1"/>
          <xdr:cNvSpPr>
            <a:spLocks/>
          </xdr:cNvSpPr>
        </xdr:nvSpPr>
        <xdr:spPr>
          <a:xfrm>
            <a:off x="230" y="94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2"/>
          <xdr:cNvSpPr>
            <a:spLocks/>
          </xdr:cNvSpPr>
        </xdr:nvSpPr>
        <xdr:spPr>
          <a:xfrm>
            <a:off x="125" y="405"/>
            <a:ext cx="200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3"/>
          <xdr:cNvSpPr>
            <a:spLocks/>
          </xdr:cNvSpPr>
        </xdr:nvSpPr>
        <xdr:spPr>
          <a:xfrm>
            <a:off x="230" y="300"/>
            <a:ext cx="9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4"/>
          <xdr:cNvSpPr>
            <a:spLocks/>
          </xdr:cNvSpPr>
        </xdr:nvSpPr>
        <xdr:spPr>
          <a:xfrm>
            <a:off x="172" y="356"/>
            <a:ext cx="60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5"/>
          <xdr:cNvSpPr>
            <a:spLocks/>
          </xdr:cNvSpPr>
        </xdr:nvSpPr>
        <xdr:spPr>
          <a:xfrm>
            <a:off x="192" y="76"/>
            <a:ext cx="3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6"/>
          <xdr:cNvSpPr>
            <a:spLocks/>
          </xdr:cNvSpPr>
        </xdr:nvSpPr>
        <xdr:spPr>
          <a:xfrm>
            <a:off x="86" y="345"/>
            <a:ext cx="0" cy="3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7"/>
          <xdr:cNvSpPr>
            <a:spLocks/>
          </xdr:cNvSpPr>
        </xdr:nvSpPr>
        <xdr:spPr>
          <a:xfrm flipV="1">
            <a:off x="86" y="92"/>
            <a:ext cx="0" cy="25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8"/>
          <xdr:cNvSpPr>
            <a:spLocks/>
          </xdr:cNvSpPr>
        </xdr:nvSpPr>
        <xdr:spPr>
          <a:xfrm>
            <a:off x="172" y="34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9"/>
          <xdr:cNvSpPr>
            <a:spLocks/>
          </xdr:cNvSpPr>
        </xdr:nvSpPr>
        <xdr:spPr>
          <a:xfrm>
            <a:off x="192" y="93"/>
            <a:ext cx="0" cy="2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20"/>
          <xdr:cNvSpPr>
            <a:spLocks/>
          </xdr:cNvSpPr>
        </xdr:nvSpPr>
        <xdr:spPr>
          <a:xfrm>
            <a:off x="352" y="69"/>
            <a:ext cx="0" cy="2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rc 21"/>
          <xdr:cNvSpPr>
            <a:spLocks/>
          </xdr:cNvSpPr>
        </xdr:nvSpPr>
        <xdr:spPr>
          <a:xfrm>
            <a:off x="287" y="78"/>
            <a:ext cx="8" cy="1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3"/>
          <xdr:cNvSpPr>
            <a:spLocks/>
          </xdr:cNvSpPr>
        </xdr:nvSpPr>
        <xdr:spPr>
          <a:xfrm flipV="1">
            <a:off x="325" y="224"/>
            <a:ext cx="96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4"/>
          <xdr:cNvSpPr>
            <a:spLocks/>
          </xdr:cNvSpPr>
        </xdr:nvSpPr>
        <xdr:spPr>
          <a:xfrm>
            <a:off x="377" y="247"/>
            <a:ext cx="0" cy="13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60"/>
          <xdr:cNvSpPr>
            <a:spLocks/>
          </xdr:cNvSpPr>
        </xdr:nvSpPr>
        <xdr:spPr>
          <a:xfrm>
            <a:off x="123" y="299"/>
            <a:ext cx="4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0"/>
          <xdr:cNvSpPr>
            <a:spLocks/>
          </xdr:cNvSpPr>
        </xdr:nvSpPr>
        <xdr:spPr>
          <a:xfrm flipV="1">
            <a:off x="230" y="37"/>
            <a:ext cx="9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1"/>
          <xdr:cNvSpPr>
            <a:spLocks/>
          </xdr:cNvSpPr>
        </xdr:nvSpPr>
        <xdr:spPr>
          <a:xfrm>
            <a:off x="231" y="61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>
            <a:off x="325" y="38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Box 231"/>
          <xdr:cNvSpPr txBox="1">
            <a:spLocks noChangeArrowheads="1"/>
          </xdr:cNvSpPr>
        </xdr:nvSpPr>
        <xdr:spPr>
          <a:xfrm>
            <a:off x="520" y="33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</a:p>
        </xdr:txBody>
      </xdr:sp>
      <xdr:sp>
        <xdr:nvSpPr>
          <xdr:cNvPr id="113" name="TextBox 232"/>
          <xdr:cNvSpPr txBox="1">
            <a:spLocks noChangeArrowheads="1"/>
          </xdr:cNvSpPr>
        </xdr:nvSpPr>
        <xdr:spPr>
          <a:xfrm>
            <a:off x="422" y="29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14" name="Arc 239"/>
          <xdr:cNvSpPr>
            <a:spLocks/>
          </xdr:cNvSpPr>
        </xdr:nvSpPr>
        <xdr:spPr>
          <a:xfrm>
            <a:off x="490" y="316"/>
            <a:ext cx="8" cy="1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221</xdr:row>
      <xdr:rowOff>57150</xdr:rowOff>
    </xdr:from>
    <xdr:to>
      <xdr:col>7</xdr:col>
      <xdr:colOff>142875</xdr:colOff>
      <xdr:row>221</xdr:row>
      <xdr:rowOff>152400</xdr:rowOff>
    </xdr:to>
    <xdr:sp>
      <xdr:nvSpPr>
        <xdr:cNvPr id="115" name="AutoShape 552"/>
        <xdr:cNvSpPr>
          <a:spLocks/>
        </xdr:cNvSpPr>
      </xdr:nvSpPr>
      <xdr:spPr>
        <a:xfrm>
          <a:off x="4010025" y="36737925"/>
          <a:ext cx="40005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183</xdr:row>
      <xdr:rowOff>152400</xdr:rowOff>
    </xdr:from>
    <xdr:to>
      <xdr:col>3</xdr:col>
      <xdr:colOff>466725</xdr:colOff>
      <xdr:row>186</xdr:row>
      <xdr:rowOff>161925</xdr:rowOff>
    </xdr:to>
    <xdr:sp>
      <xdr:nvSpPr>
        <xdr:cNvPr id="116" name="AutoShape 784"/>
        <xdr:cNvSpPr>
          <a:spLocks/>
        </xdr:cNvSpPr>
      </xdr:nvSpPr>
      <xdr:spPr>
        <a:xfrm>
          <a:off x="2219325" y="30489525"/>
          <a:ext cx="762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\\</a:t>
          </a:r>
        </a:p>
      </xdr:txBody>
    </xdr:sp>
    <xdr:clientData/>
  </xdr:twoCellAnchor>
  <xdr:twoCellAnchor>
    <xdr:from>
      <xdr:col>1</xdr:col>
      <xdr:colOff>238125</xdr:colOff>
      <xdr:row>198</xdr:row>
      <xdr:rowOff>85725</xdr:rowOff>
    </xdr:from>
    <xdr:to>
      <xdr:col>12</xdr:col>
      <xdr:colOff>180975</xdr:colOff>
      <xdr:row>212</xdr:row>
      <xdr:rowOff>47625</xdr:rowOff>
    </xdr:to>
    <xdr:grpSp>
      <xdr:nvGrpSpPr>
        <xdr:cNvPr id="117" name="Group 859"/>
        <xdr:cNvGrpSpPr>
          <a:grpSpLocks/>
        </xdr:cNvGrpSpPr>
      </xdr:nvGrpSpPr>
      <xdr:grpSpPr>
        <a:xfrm>
          <a:off x="847725" y="33023175"/>
          <a:ext cx="6648450" cy="2228850"/>
          <a:chOff x="89" y="3487"/>
          <a:chExt cx="698" cy="256"/>
        </a:xfrm>
        <a:solidFill>
          <a:srgbClr val="FFFFFF"/>
        </a:solidFill>
      </xdr:grpSpPr>
      <xdr:sp>
        <xdr:nvSpPr>
          <xdr:cNvPr id="118" name="Line 169"/>
          <xdr:cNvSpPr>
            <a:spLocks/>
          </xdr:cNvSpPr>
        </xdr:nvSpPr>
        <xdr:spPr>
          <a:xfrm>
            <a:off x="215" y="3491"/>
            <a:ext cx="0" cy="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70"/>
          <xdr:cNvSpPr>
            <a:spLocks/>
          </xdr:cNvSpPr>
        </xdr:nvSpPr>
        <xdr:spPr>
          <a:xfrm flipH="1">
            <a:off x="158" y="3491"/>
            <a:ext cx="4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71"/>
          <xdr:cNvSpPr>
            <a:spLocks/>
          </xdr:cNvSpPr>
        </xdr:nvSpPr>
        <xdr:spPr>
          <a:xfrm flipH="1">
            <a:off x="109" y="3551"/>
            <a:ext cx="5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72"/>
          <xdr:cNvSpPr>
            <a:spLocks/>
          </xdr:cNvSpPr>
        </xdr:nvSpPr>
        <xdr:spPr>
          <a:xfrm>
            <a:off x="109" y="355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3"/>
          <xdr:cNvSpPr>
            <a:spLocks/>
          </xdr:cNvSpPr>
        </xdr:nvSpPr>
        <xdr:spPr>
          <a:xfrm>
            <a:off x="109" y="3587"/>
            <a:ext cx="20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74"/>
          <xdr:cNvSpPr>
            <a:spLocks/>
          </xdr:cNvSpPr>
        </xdr:nvSpPr>
        <xdr:spPr>
          <a:xfrm flipV="1">
            <a:off x="309" y="355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75"/>
          <xdr:cNvSpPr>
            <a:spLocks/>
          </xdr:cNvSpPr>
        </xdr:nvSpPr>
        <xdr:spPr>
          <a:xfrm>
            <a:off x="215" y="3551"/>
            <a:ext cx="9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90"/>
          <xdr:cNvSpPr>
            <a:spLocks/>
          </xdr:cNvSpPr>
        </xdr:nvSpPr>
        <xdr:spPr>
          <a:xfrm>
            <a:off x="144" y="3491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92"/>
          <xdr:cNvSpPr>
            <a:spLocks/>
          </xdr:cNvSpPr>
        </xdr:nvSpPr>
        <xdr:spPr>
          <a:xfrm>
            <a:off x="109" y="3587"/>
            <a:ext cx="0" cy="6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93"/>
          <xdr:cNvSpPr>
            <a:spLocks/>
          </xdr:cNvSpPr>
        </xdr:nvSpPr>
        <xdr:spPr>
          <a:xfrm flipV="1">
            <a:off x="108" y="3587"/>
            <a:ext cx="16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94"/>
          <xdr:cNvSpPr>
            <a:spLocks/>
          </xdr:cNvSpPr>
        </xdr:nvSpPr>
        <xdr:spPr>
          <a:xfrm>
            <a:off x="108" y="3674"/>
            <a:ext cx="7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95"/>
          <xdr:cNvSpPr>
            <a:spLocks/>
          </xdr:cNvSpPr>
        </xdr:nvSpPr>
        <xdr:spPr>
          <a:xfrm>
            <a:off x="187" y="3487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96"/>
          <xdr:cNvSpPr>
            <a:spLocks/>
          </xdr:cNvSpPr>
        </xdr:nvSpPr>
        <xdr:spPr>
          <a:xfrm>
            <a:off x="187" y="3586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97"/>
          <xdr:cNvSpPr>
            <a:spLocks/>
          </xdr:cNvSpPr>
        </xdr:nvSpPr>
        <xdr:spPr>
          <a:xfrm>
            <a:off x="186" y="3601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99"/>
          <xdr:cNvSpPr>
            <a:spLocks/>
          </xdr:cNvSpPr>
        </xdr:nvSpPr>
        <xdr:spPr>
          <a:xfrm>
            <a:off x="109" y="3707"/>
            <a:ext cx="15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00"/>
          <xdr:cNvSpPr>
            <a:spLocks/>
          </xdr:cNvSpPr>
        </xdr:nvSpPr>
        <xdr:spPr>
          <a:xfrm>
            <a:off x="109" y="3743"/>
            <a:ext cx="19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05"/>
          <xdr:cNvSpPr>
            <a:spLocks/>
          </xdr:cNvSpPr>
        </xdr:nvSpPr>
        <xdr:spPr>
          <a:xfrm>
            <a:off x="339" y="355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08"/>
          <xdr:cNvSpPr>
            <a:spLocks/>
          </xdr:cNvSpPr>
        </xdr:nvSpPr>
        <xdr:spPr>
          <a:xfrm>
            <a:off x="186" y="3674"/>
            <a:ext cx="7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36"/>
          <xdr:cNvSpPr>
            <a:spLocks/>
          </xdr:cNvSpPr>
        </xdr:nvSpPr>
        <xdr:spPr>
          <a:xfrm flipH="1" flipV="1">
            <a:off x="89" y="3616"/>
            <a:ext cx="19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7" name="Group 688"/>
          <xdr:cNvGrpSpPr>
            <a:grpSpLocks/>
          </xdr:cNvGrpSpPr>
        </xdr:nvGrpSpPr>
        <xdr:grpSpPr>
          <a:xfrm>
            <a:off x="473" y="3487"/>
            <a:ext cx="314" cy="256"/>
            <a:chOff x="473" y="3657"/>
            <a:chExt cx="314" cy="256"/>
          </a:xfrm>
          <a:solidFill>
            <a:srgbClr val="FFFFFF"/>
          </a:solidFill>
        </xdr:grpSpPr>
        <xdr:sp>
          <xdr:nvSpPr>
            <xdr:cNvPr id="138" name="Line 268"/>
            <xdr:cNvSpPr>
              <a:spLocks/>
            </xdr:cNvSpPr>
          </xdr:nvSpPr>
          <xdr:spPr>
            <a:xfrm>
              <a:off x="599" y="3661"/>
              <a:ext cx="0" cy="6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269"/>
            <xdr:cNvSpPr>
              <a:spLocks/>
            </xdr:cNvSpPr>
          </xdr:nvSpPr>
          <xdr:spPr>
            <a:xfrm flipH="1">
              <a:off x="542" y="3661"/>
              <a:ext cx="4" cy="6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270"/>
            <xdr:cNvSpPr>
              <a:spLocks/>
            </xdr:cNvSpPr>
          </xdr:nvSpPr>
          <xdr:spPr>
            <a:xfrm flipH="1">
              <a:off x="493" y="3721"/>
              <a:ext cx="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271"/>
            <xdr:cNvSpPr>
              <a:spLocks/>
            </xdr:cNvSpPr>
          </xdr:nvSpPr>
          <xdr:spPr>
            <a:xfrm>
              <a:off x="493" y="3721"/>
              <a:ext cx="0" cy="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272"/>
            <xdr:cNvSpPr>
              <a:spLocks/>
            </xdr:cNvSpPr>
          </xdr:nvSpPr>
          <xdr:spPr>
            <a:xfrm>
              <a:off x="493" y="3757"/>
              <a:ext cx="20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273"/>
            <xdr:cNvSpPr>
              <a:spLocks/>
            </xdr:cNvSpPr>
          </xdr:nvSpPr>
          <xdr:spPr>
            <a:xfrm flipV="1">
              <a:off x="693" y="3721"/>
              <a:ext cx="0" cy="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274"/>
            <xdr:cNvSpPr>
              <a:spLocks/>
            </xdr:cNvSpPr>
          </xdr:nvSpPr>
          <xdr:spPr>
            <a:xfrm>
              <a:off x="599" y="3721"/>
              <a:ext cx="94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275"/>
            <xdr:cNvSpPr>
              <a:spLocks/>
            </xdr:cNvSpPr>
          </xdr:nvSpPr>
          <xdr:spPr>
            <a:xfrm>
              <a:off x="528" y="3661"/>
              <a:ext cx="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276"/>
            <xdr:cNvSpPr>
              <a:spLocks/>
            </xdr:cNvSpPr>
          </xdr:nvSpPr>
          <xdr:spPr>
            <a:xfrm>
              <a:off x="493" y="3757"/>
              <a:ext cx="0" cy="6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277"/>
            <xdr:cNvSpPr>
              <a:spLocks/>
            </xdr:cNvSpPr>
          </xdr:nvSpPr>
          <xdr:spPr>
            <a:xfrm flipV="1">
              <a:off x="492" y="3764"/>
              <a:ext cx="201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278"/>
            <xdr:cNvSpPr>
              <a:spLocks/>
            </xdr:cNvSpPr>
          </xdr:nvSpPr>
          <xdr:spPr>
            <a:xfrm>
              <a:off x="492" y="3844"/>
              <a:ext cx="79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279"/>
            <xdr:cNvSpPr>
              <a:spLocks/>
            </xdr:cNvSpPr>
          </xdr:nvSpPr>
          <xdr:spPr>
            <a:xfrm>
              <a:off x="571" y="3657"/>
              <a:ext cx="0" cy="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280"/>
            <xdr:cNvSpPr>
              <a:spLocks/>
            </xdr:cNvSpPr>
          </xdr:nvSpPr>
          <xdr:spPr>
            <a:xfrm>
              <a:off x="571" y="3756"/>
              <a:ext cx="0" cy="4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281"/>
            <xdr:cNvSpPr>
              <a:spLocks/>
            </xdr:cNvSpPr>
          </xdr:nvSpPr>
          <xdr:spPr>
            <a:xfrm>
              <a:off x="570" y="3771"/>
              <a:ext cx="23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oval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282"/>
            <xdr:cNvSpPr>
              <a:spLocks/>
            </xdr:cNvSpPr>
          </xdr:nvSpPr>
          <xdr:spPr>
            <a:xfrm>
              <a:off x="493" y="3877"/>
              <a:ext cx="223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283"/>
            <xdr:cNvSpPr>
              <a:spLocks/>
            </xdr:cNvSpPr>
          </xdr:nvSpPr>
          <xdr:spPr>
            <a:xfrm>
              <a:off x="493" y="3913"/>
              <a:ext cx="198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284"/>
            <xdr:cNvSpPr>
              <a:spLocks/>
            </xdr:cNvSpPr>
          </xdr:nvSpPr>
          <xdr:spPr>
            <a:xfrm>
              <a:off x="787" y="3721"/>
              <a:ext cx="0" cy="36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285"/>
            <xdr:cNvSpPr>
              <a:spLocks/>
            </xdr:cNvSpPr>
          </xdr:nvSpPr>
          <xdr:spPr>
            <a:xfrm flipV="1">
              <a:off x="570" y="3844"/>
              <a:ext cx="143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286"/>
            <xdr:cNvSpPr>
              <a:spLocks/>
            </xdr:cNvSpPr>
          </xdr:nvSpPr>
          <xdr:spPr>
            <a:xfrm flipH="1" flipV="1">
              <a:off x="473" y="3786"/>
              <a:ext cx="19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oval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287"/>
            <xdr:cNvSpPr>
              <a:spLocks/>
            </xdr:cNvSpPr>
          </xdr:nvSpPr>
          <xdr:spPr>
            <a:xfrm>
              <a:off x="693" y="3757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288"/>
            <xdr:cNvSpPr>
              <a:spLocks/>
            </xdr:cNvSpPr>
          </xdr:nvSpPr>
          <xdr:spPr>
            <a:xfrm flipH="1">
              <a:off x="693" y="375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289"/>
            <xdr:cNvSpPr>
              <a:spLocks/>
            </xdr:cNvSpPr>
          </xdr:nvSpPr>
          <xdr:spPr>
            <a:xfrm flipV="1">
              <a:off x="693" y="3757"/>
              <a:ext cx="2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290"/>
            <xdr:cNvSpPr>
              <a:spLocks/>
            </xdr:cNvSpPr>
          </xdr:nvSpPr>
          <xdr:spPr>
            <a:xfrm>
              <a:off x="693" y="3761"/>
              <a:ext cx="23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oval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1" name="AutoShape 857"/>
          <xdr:cNvSpPr>
            <a:spLocks/>
          </xdr:cNvSpPr>
        </xdr:nvSpPr>
        <xdr:spPr>
          <a:xfrm>
            <a:off x="219" y="3493"/>
            <a:ext cx="87" cy="54"/>
          </a:xfrm>
          <a:prstGeom prst="rtTriangle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858"/>
          <xdr:cNvSpPr>
            <a:spLocks/>
          </xdr:cNvSpPr>
        </xdr:nvSpPr>
        <xdr:spPr>
          <a:xfrm>
            <a:off x="603" y="3492"/>
            <a:ext cx="87" cy="54"/>
          </a:xfrm>
          <a:prstGeom prst="rtTriangle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201</xdr:row>
      <xdr:rowOff>47625</xdr:rowOff>
    </xdr:from>
    <xdr:to>
      <xdr:col>11</xdr:col>
      <xdr:colOff>142875</xdr:colOff>
      <xdr:row>201</xdr:row>
      <xdr:rowOff>47625</xdr:rowOff>
    </xdr:to>
    <xdr:sp>
      <xdr:nvSpPr>
        <xdr:cNvPr id="163" name="Line 73"/>
        <xdr:cNvSpPr>
          <a:spLocks/>
        </xdr:cNvSpPr>
      </xdr:nvSpPr>
      <xdr:spPr>
        <a:xfrm>
          <a:off x="6629400" y="3347085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8"/>
  <sheetViews>
    <sheetView tabSelected="1" view="pageBreakPreview" zoomScaleNormal="120" zoomScaleSheetLayoutView="100" workbookViewId="0" topLeftCell="A197">
      <selection activeCell="M202" sqref="M202"/>
    </sheetView>
  </sheetViews>
  <sheetFormatPr defaultColWidth="9.140625" defaultRowHeight="12.75"/>
  <sheetData>
    <row r="2" ht="15.75">
      <c r="D2" s="125" t="s">
        <v>55</v>
      </c>
    </row>
    <row r="3" ht="12.75">
      <c r="D3" s="14"/>
    </row>
    <row r="4" ht="12.75">
      <c r="A4" s="82" t="s">
        <v>180</v>
      </c>
    </row>
    <row r="5" spans="10:12" ht="12.75">
      <c r="J5" s="4" t="s">
        <v>0</v>
      </c>
      <c r="K5" s="77">
        <v>5.2</v>
      </c>
      <c r="L5" s="5" t="s">
        <v>9</v>
      </c>
    </row>
    <row r="6" spans="4:12" ht="12.75">
      <c r="D6" t="s">
        <v>6</v>
      </c>
      <c r="F6" t="s">
        <v>53</v>
      </c>
      <c r="J6" s="4" t="s">
        <v>3</v>
      </c>
      <c r="K6" s="77">
        <v>0.55</v>
      </c>
      <c r="L6" s="5" t="s">
        <v>9</v>
      </c>
    </row>
    <row r="7" spans="6:12" ht="12.75">
      <c r="F7" s="2" t="s">
        <v>7</v>
      </c>
      <c r="J7" s="4" t="s">
        <v>2</v>
      </c>
      <c r="K7" s="77">
        <v>3.45</v>
      </c>
      <c r="L7" s="5" t="s">
        <v>9</v>
      </c>
    </row>
    <row r="8" spans="10:12" ht="12.75">
      <c r="J8" s="4" t="s">
        <v>5</v>
      </c>
      <c r="K8" s="77">
        <v>0.55</v>
      </c>
      <c r="L8" s="5" t="s">
        <v>9</v>
      </c>
    </row>
    <row r="9" spans="5:12" ht="12.75">
      <c r="E9" s="11" t="s">
        <v>14</v>
      </c>
      <c r="J9" s="4" t="s">
        <v>4</v>
      </c>
      <c r="K9" s="77">
        <v>2.15</v>
      </c>
      <c r="L9" s="5" t="s">
        <v>9</v>
      </c>
    </row>
    <row r="10" spans="10:12" ht="12.75">
      <c r="J10" s="4" t="s">
        <v>1</v>
      </c>
      <c r="K10" s="77">
        <v>0.3</v>
      </c>
      <c r="L10" s="5" t="s">
        <v>9</v>
      </c>
    </row>
    <row r="11" spans="10:12" ht="12.75">
      <c r="J11" s="4" t="s">
        <v>7</v>
      </c>
      <c r="K11" s="34">
        <f>K9*TAN(K26)</f>
        <v>0</v>
      </c>
      <c r="L11" s="5" t="s">
        <v>9</v>
      </c>
    </row>
    <row r="12" spans="10:12" ht="12.75">
      <c r="J12" s="12" t="s">
        <v>8</v>
      </c>
      <c r="K12" s="34">
        <f>K7-(K9+K8)</f>
        <v>0.75</v>
      </c>
      <c r="L12" s="5" t="s">
        <v>9</v>
      </c>
    </row>
    <row r="13" spans="10:12" ht="12.75">
      <c r="J13" s="12" t="s">
        <v>54</v>
      </c>
      <c r="K13" s="34">
        <f>K20/K18</f>
        <v>0.3125</v>
      </c>
      <c r="L13" s="5" t="s">
        <v>9</v>
      </c>
    </row>
    <row r="15" spans="1:12" ht="12.75">
      <c r="A15" s="2" t="s">
        <v>0</v>
      </c>
      <c r="G15" s="1" t="s">
        <v>15</v>
      </c>
      <c r="J15" s="4" t="s">
        <v>76</v>
      </c>
      <c r="K15" s="72">
        <v>1</v>
      </c>
      <c r="L15" s="5" t="s">
        <v>43</v>
      </c>
    </row>
    <row r="16" spans="10:12" ht="12.75">
      <c r="J16" s="4" t="s">
        <v>42</v>
      </c>
      <c r="K16" s="72">
        <v>0.5</v>
      </c>
      <c r="L16" s="5" t="s">
        <v>132</v>
      </c>
    </row>
    <row r="17" spans="10:12" ht="12.75">
      <c r="J17" s="4" t="s">
        <v>71</v>
      </c>
      <c r="K17" s="72">
        <v>0</v>
      </c>
      <c r="L17" s="5" t="s">
        <v>72</v>
      </c>
    </row>
    <row r="18" spans="7:12" ht="14.25">
      <c r="G18" s="3"/>
      <c r="J18" s="6" t="s">
        <v>13</v>
      </c>
      <c r="K18" s="72">
        <v>1600</v>
      </c>
      <c r="L18" s="5" t="s">
        <v>164</v>
      </c>
    </row>
    <row r="19" spans="3:12" ht="14.25">
      <c r="C19" s="5" t="s">
        <v>32</v>
      </c>
      <c r="E19" s="1" t="s">
        <v>4</v>
      </c>
      <c r="J19" s="7" t="s">
        <v>12</v>
      </c>
      <c r="K19" s="72">
        <v>2500</v>
      </c>
      <c r="L19" s="5" t="s">
        <v>164</v>
      </c>
    </row>
    <row r="20" spans="7:13" ht="14.25">
      <c r="G20" s="13" t="s">
        <v>21</v>
      </c>
      <c r="H20" s="13"/>
      <c r="J20" s="4" t="s">
        <v>52</v>
      </c>
      <c r="K20" s="78">
        <v>500</v>
      </c>
      <c r="L20" s="5" t="s">
        <v>159</v>
      </c>
      <c r="M20" s="13"/>
    </row>
    <row r="21" spans="7:13" ht="12.75">
      <c r="G21" s="13"/>
      <c r="H21" s="7" t="s">
        <v>19</v>
      </c>
      <c r="J21" s="6" t="s">
        <v>8</v>
      </c>
      <c r="K21" s="72">
        <v>30</v>
      </c>
      <c r="L21" s="5" t="s">
        <v>10</v>
      </c>
      <c r="M21" s="13"/>
    </row>
    <row r="22" spans="7:13" ht="12.75">
      <c r="G22" s="13"/>
      <c r="J22" s="8" t="s">
        <v>14</v>
      </c>
      <c r="K22" s="72">
        <v>0</v>
      </c>
      <c r="L22" s="5" t="s">
        <v>10</v>
      </c>
      <c r="M22" s="13"/>
    </row>
    <row r="23" spans="1:13" ht="12.75">
      <c r="A23" s="136" t="s">
        <v>3</v>
      </c>
      <c r="G23" s="13"/>
      <c r="J23" s="8" t="s">
        <v>1</v>
      </c>
      <c r="K23" s="79">
        <v>90</v>
      </c>
      <c r="L23" s="5" t="s">
        <v>10</v>
      </c>
      <c r="M23" s="13"/>
    </row>
    <row r="24" spans="1:14" ht="12.75">
      <c r="A24" s="136"/>
      <c r="D24" s="10" t="s">
        <v>5</v>
      </c>
      <c r="G24" s="13"/>
      <c r="J24" s="8" t="s">
        <v>19</v>
      </c>
      <c r="K24" s="79">
        <v>0</v>
      </c>
      <c r="L24" s="5" t="s">
        <v>10</v>
      </c>
      <c r="M24" s="13"/>
      <c r="N24" s="13"/>
    </row>
    <row r="25" spans="7:14" ht="12.75">
      <c r="G25" s="13"/>
      <c r="J25" s="6" t="s">
        <v>8</v>
      </c>
      <c r="K25" s="80">
        <f>RADIANS(K21)</f>
        <v>0.5235987755982988</v>
      </c>
      <c r="L25" s="5" t="s">
        <v>11</v>
      </c>
      <c r="M25" s="13"/>
      <c r="N25" s="13"/>
    </row>
    <row r="26" spans="7:14" ht="12.75">
      <c r="G26" s="13"/>
      <c r="J26" s="8" t="s">
        <v>14</v>
      </c>
      <c r="K26" s="80">
        <f>RADIANS(K22)</f>
        <v>0</v>
      </c>
      <c r="L26" s="5" t="s">
        <v>11</v>
      </c>
      <c r="M26" s="13"/>
      <c r="N26" s="13"/>
    </row>
    <row r="27" spans="4:14" ht="12.75">
      <c r="D27" s="1" t="s">
        <v>2</v>
      </c>
      <c r="G27" s="13"/>
      <c r="J27" s="8" t="s">
        <v>1</v>
      </c>
      <c r="K27" s="81">
        <f>RADIANS(K23)</f>
        <v>1.5707963267948966</v>
      </c>
      <c r="L27" s="5" t="s">
        <v>11</v>
      </c>
      <c r="M27" s="13"/>
      <c r="N27" s="13"/>
    </row>
    <row r="28" spans="7:14" ht="12.75">
      <c r="G28" s="13"/>
      <c r="J28" s="8" t="s">
        <v>19</v>
      </c>
      <c r="K28" s="81">
        <f>RADIANS(K24)</f>
        <v>0</v>
      </c>
      <c r="L28" s="5" t="s">
        <v>11</v>
      </c>
      <c r="M28" s="13"/>
      <c r="N28" s="13"/>
    </row>
    <row r="29" spans="1:14" ht="12.75">
      <c r="A29" t="s">
        <v>17</v>
      </c>
      <c r="D29" s="15">
        <f>(SIN(K27+K25))^2/(((SIN(K27))^2*SIN(K27-K28))*(1+SQRT((SIN(K25+K28)*SIN(K25-K26))/(SIN(K27-K28)*(SIN(K27+K26)))))^2)</f>
        <v>0.33333333333333337</v>
      </c>
      <c r="N29" s="13"/>
    </row>
    <row r="30" spans="8:14" ht="12.75">
      <c r="H30" s="13"/>
      <c r="I30" s="13"/>
      <c r="J30" s="13"/>
      <c r="K30" s="13"/>
      <c r="L30" s="13"/>
      <c r="M30" s="13"/>
      <c r="N30" s="13"/>
    </row>
    <row r="31" spans="1:14" ht="12.75">
      <c r="A31" s="82" t="s">
        <v>58</v>
      </c>
      <c r="G31" s="13"/>
      <c r="H31" s="82" t="s">
        <v>62</v>
      </c>
      <c r="I31" s="13"/>
      <c r="J31" s="13"/>
      <c r="K31" s="13"/>
      <c r="L31" s="13"/>
      <c r="M31" s="13"/>
      <c r="N31" s="13"/>
    </row>
    <row r="32" spans="8:14" ht="12.75">
      <c r="H32" s="13"/>
      <c r="M32" s="13"/>
      <c r="N32" s="13"/>
    </row>
    <row r="33" spans="1:14" ht="14.25">
      <c r="A33" s="3" t="s">
        <v>56</v>
      </c>
      <c r="E33" s="2">
        <f>1/2*K18*(K5+K6)^2*D29*(1+2*K13/(K6+K5))</f>
        <v>9775.000000000002</v>
      </c>
      <c r="F33" t="s">
        <v>18</v>
      </c>
      <c r="G33" s="13"/>
      <c r="H33" s="3" t="s">
        <v>63</v>
      </c>
      <c r="L33" s="2">
        <f>1/2*K18*(K5+K6)^2*D29</f>
        <v>8816.666666666668</v>
      </c>
      <c r="M33" t="s">
        <v>18</v>
      </c>
      <c r="N33" s="13"/>
    </row>
    <row r="34" spans="1:14" ht="12.75">
      <c r="A34" s="3" t="s">
        <v>59</v>
      </c>
      <c r="E34" s="34">
        <f>((K5+K6)/3)*(((K5+K6)+3*K13)/((K5+K6)+2*K13))</f>
        <v>2.0106209150326797</v>
      </c>
      <c r="F34" t="s">
        <v>9</v>
      </c>
      <c r="H34" s="3" t="s">
        <v>16</v>
      </c>
      <c r="L34" s="34">
        <f>(K5+K6)/3</f>
        <v>1.9166666666666667</v>
      </c>
      <c r="M34" t="s">
        <v>9</v>
      </c>
      <c r="N34" s="13"/>
    </row>
    <row r="35" spans="1:14" ht="12.75">
      <c r="A35" t="s">
        <v>60</v>
      </c>
      <c r="E35" s="34">
        <f>K18*(K5+K6+K13)*D29</f>
        <v>3233.3333333333335</v>
      </c>
      <c r="F35" t="s">
        <v>18</v>
      </c>
      <c r="H35" t="s">
        <v>20</v>
      </c>
      <c r="I35" s="13"/>
      <c r="J35" s="13"/>
      <c r="K35" s="13"/>
      <c r="L35" s="66">
        <f>K18*(K5+K6)*D29</f>
        <v>3066.666666666667</v>
      </c>
      <c r="M35" t="s">
        <v>18</v>
      </c>
      <c r="N35" s="13"/>
    </row>
    <row r="36" spans="1:14" ht="12.75">
      <c r="A36" t="s">
        <v>61</v>
      </c>
      <c r="E36" s="34">
        <f>IF(K20=0,0,K18*K13*D29)</f>
        <v>166.66666666666669</v>
      </c>
      <c r="F36" t="s">
        <v>18</v>
      </c>
      <c r="G36" s="13"/>
      <c r="H36" t="s">
        <v>61</v>
      </c>
      <c r="I36" s="13"/>
      <c r="L36" s="67" t="s">
        <v>31</v>
      </c>
      <c r="M36" t="s">
        <v>18</v>
      </c>
      <c r="N36" s="13"/>
    </row>
    <row r="37" spans="1:14" ht="12.75">
      <c r="A37" s="13" t="s">
        <v>135</v>
      </c>
      <c r="B37" s="13"/>
      <c r="E37" s="34">
        <f>E33*COS(K28)</f>
        <v>9775.000000000002</v>
      </c>
      <c r="F37" t="s">
        <v>18</v>
      </c>
      <c r="G37" s="13"/>
      <c r="H37" s="13" t="s">
        <v>135</v>
      </c>
      <c r="I37" s="13"/>
      <c r="J37" s="13"/>
      <c r="K37" s="13"/>
      <c r="L37" s="66">
        <f>L33*COS(K28)</f>
        <v>8816.666666666668</v>
      </c>
      <c r="M37" t="s">
        <v>18</v>
      </c>
      <c r="N37" s="13"/>
    </row>
    <row r="38" spans="1:14" ht="12.75">
      <c r="A38" s="13" t="s">
        <v>136</v>
      </c>
      <c r="B38" s="13"/>
      <c r="E38" s="34">
        <f>E33*SIN(K28)</f>
        <v>0</v>
      </c>
      <c r="F38" t="s">
        <v>18</v>
      </c>
      <c r="G38" s="13"/>
      <c r="H38" s="13" t="s">
        <v>136</v>
      </c>
      <c r="J38" s="13"/>
      <c r="K38" s="13"/>
      <c r="L38" s="66">
        <f>L33*SIN(K28)</f>
        <v>0</v>
      </c>
      <c r="M38" t="s">
        <v>18</v>
      </c>
      <c r="N38" s="13"/>
    </row>
    <row r="39" spans="1:14" ht="12.75">
      <c r="A39" s="13" t="s">
        <v>137</v>
      </c>
      <c r="B39" s="13"/>
      <c r="C39" s="13"/>
      <c r="E39" s="66">
        <f>E35*COS(K28)</f>
        <v>3233.3333333333335</v>
      </c>
      <c r="F39" s="13" t="s">
        <v>18</v>
      </c>
      <c r="G39" s="13"/>
      <c r="H39" s="13" t="s">
        <v>137</v>
      </c>
      <c r="L39" s="34">
        <f>L35*COS(K28)</f>
        <v>3066.666666666667</v>
      </c>
      <c r="M39" s="13" t="s">
        <v>18</v>
      </c>
      <c r="N39" s="13"/>
    </row>
    <row r="40" spans="1:14" ht="12.75">
      <c r="A40" s="13" t="s">
        <v>138</v>
      </c>
      <c r="E40" s="34">
        <f>IF(K20=0,0,E36*SIN(K28))</f>
        <v>0</v>
      </c>
      <c r="F40" s="13" t="s">
        <v>18</v>
      </c>
      <c r="G40" s="13"/>
      <c r="H40" s="13" t="s">
        <v>138</v>
      </c>
      <c r="I40" s="13"/>
      <c r="J40" s="13"/>
      <c r="K40" s="13"/>
      <c r="L40" s="68" t="s">
        <v>31</v>
      </c>
      <c r="M40" s="13" t="s">
        <v>18</v>
      </c>
      <c r="N40" s="13"/>
    </row>
    <row r="41" spans="1:14" ht="12.75">
      <c r="A41" s="13"/>
      <c r="E41" s="34"/>
      <c r="F41" s="13"/>
      <c r="G41" s="13"/>
      <c r="H41" s="13"/>
      <c r="I41" s="13"/>
      <c r="J41" s="13"/>
      <c r="K41" s="13"/>
      <c r="L41" s="68"/>
      <c r="M41" s="13"/>
      <c r="N41" s="13"/>
    </row>
    <row r="42" ht="12.75">
      <c r="B42" s="82" t="s">
        <v>24</v>
      </c>
    </row>
    <row r="43" spans="5:7" ht="12.75">
      <c r="E43" s="1" t="s">
        <v>116</v>
      </c>
      <c r="F43" s="16">
        <f>E36</f>
        <v>166.66666666666669</v>
      </c>
      <c r="G43" s="13" t="s">
        <v>18</v>
      </c>
    </row>
    <row r="47" spans="7:13" ht="12.75">
      <c r="G47" s="18" t="s">
        <v>25</v>
      </c>
      <c r="H47" s="137" t="s">
        <v>26</v>
      </c>
      <c r="I47" s="138"/>
      <c r="J47" s="20" t="s">
        <v>27</v>
      </c>
      <c r="K47" s="20" t="s">
        <v>28</v>
      </c>
      <c r="L47" s="20" t="s">
        <v>29</v>
      </c>
      <c r="M47" s="17" t="s">
        <v>30</v>
      </c>
    </row>
    <row r="48" spans="7:13" ht="12.75">
      <c r="G48" s="19">
        <v>1</v>
      </c>
      <c r="H48" s="24">
        <f>(K8-K10)</f>
        <v>0.25000000000000006</v>
      </c>
      <c r="I48" s="25">
        <f>K5</f>
        <v>5.2</v>
      </c>
      <c r="J48" s="21">
        <f>H48*I48/2</f>
        <v>0.6500000000000001</v>
      </c>
      <c r="K48" s="29">
        <f>J48*K19</f>
        <v>1625.0000000000002</v>
      </c>
      <c r="L48" s="29">
        <f>(2/3*(K8-K10))+K12</f>
        <v>0.9166666666666667</v>
      </c>
      <c r="M48" s="16">
        <f aca="true" t="shared" si="0" ref="M48:M54">K48*L48</f>
        <v>1489.5833333333337</v>
      </c>
    </row>
    <row r="49" spans="7:13" ht="12.75">
      <c r="G49" s="19">
        <v>2</v>
      </c>
      <c r="H49" s="24">
        <f>K7</f>
        <v>3.45</v>
      </c>
      <c r="I49" s="25">
        <f>K6</f>
        <v>0.55</v>
      </c>
      <c r="J49" s="21">
        <f>H49*I49</f>
        <v>1.8975000000000002</v>
      </c>
      <c r="K49" s="29">
        <f>J49*K19</f>
        <v>4743.750000000001</v>
      </c>
      <c r="L49" s="29">
        <f>K7/2</f>
        <v>1.725</v>
      </c>
      <c r="M49" s="16">
        <f t="shared" si="0"/>
        <v>8182.968750000002</v>
      </c>
    </row>
    <row r="50" spans="7:13" ht="12.75">
      <c r="G50" s="19">
        <v>3</v>
      </c>
      <c r="H50" s="24">
        <f>K10</f>
        <v>0.3</v>
      </c>
      <c r="I50" s="25">
        <f>K5</f>
        <v>5.2</v>
      </c>
      <c r="J50" s="21">
        <f>H50*I50</f>
        <v>1.56</v>
      </c>
      <c r="K50" s="29">
        <f>J50*K19</f>
        <v>3900</v>
      </c>
      <c r="L50" s="29">
        <f>(K10/2)+(K8-K10)+K12</f>
        <v>1.15</v>
      </c>
      <c r="M50" s="16">
        <f t="shared" si="0"/>
        <v>4485</v>
      </c>
    </row>
    <row r="51" spans="7:13" ht="12.75">
      <c r="G51" s="19">
        <v>4</v>
      </c>
      <c r="H51" s="24">
        <f>K9</f>
        <v>2.15</v>
      </c>
      <c r="I51" s="25">
        <f>K5</f>
        <v>5.2</v>
      </c>
      <c r="J51" s="21">
        <f>H51*I51</f>
        <v>11.18</v>
      </c>
      <c r="K51" s="29">
        <f>J51*K18</f>
        <v>17888</v>
      </c>
      <c r="L51" s="29">
        <f>(K9/2)+K8+K12</f>
        <v>2.375</v>
      </c>
      <c r="M51" s="16">
        <f t="shared" si="0"/>
        <v>42484</v>
      </c>
    </row>
    <row r="52" spans="7:13" ht="12.75">
      <c r="G52" s="19">
        <v>5</v>
      </c>
      <c r="H52" s="24">
        <f>K9</f>
        <v>2.15</v>
      </c>
      <c r="I52" s="25">
        <f>K11</f>
        <v>0</v>
      </c>
      <c r="J52" s="28">
        <f>H52*I52/2</f>
        <v>0</v>
      </c>
      <c r="K52" s="30">
        <f>J52*K18</f>
        <v>0</v>
      </c>
      <c r="L52" s="29">
        <f>(2/3*K9)+K8+K12</f>
        <v>2.7333333333333334</v>
      </c>
      <c r="M52" s="36">
        <f t="shared" si="0"/>
        <v>0</v>
      </c>
    </row>
    <row r="53" spans="7:13" ht="12.75">
      <c r="G53" s="35" t="s">
        <v>57</v>
      </c>
      <c r="H53" s="37" t="s">
        <v>31</v>
      </c>
      <c r="I53" s="38" t="s">
        <v>31</v>
      </c>
      <c r="J53" s="39" t="s">
        <v>31</v>
      </c>
      <c r="K53" s="29">
        <f>SUM(K48:K52)</f>
        <v>28156.75</v>
      </c>
      <c r="L53" s="41" t="s">
        <v>31</v>
      </c>
      <c r="M53" s="16">
        <f>SUM(M48:M52)</f>
        <v>56641.552083333336</v>
      </c>
    </row>
    <row r="54" spans="7:13" ht="12.75">
      <c r="G54" s="17" t="s">
        <v>23</v>
      </c>
      <c r="H54" s="26" t="s">
        <v>31</v>
      </c>
      <c r="I54" s="27" t="s">
        <v>31</v>
      </c>
      <c r="J54" s="40" t="s">
        <v>31</v>
      </c>
      <c r="K54" s="30">
        <f>IF(K20=0,L38,E38)</f>
        <v>0</v>
      </c>
      <c r="L54" s="30">
        <f>K7</f>
        <v>3.45</v>
      </c>
      <c r="M54" s="16">
        <f t="shared" si="0"/>
        <v>0</v>
      </c>
    </row>
    <row r="55" spans="10:13" ht="12.75">
      <c r="J55" s="22"/>
      <c r="K55" s="31">
        <f>SUM(K53:K54)</f>
        <v>28156.75</v>
      </c>
      <c r="L55" s="23"/>
      <c r="M55" s="32">
        <f>SUM(M53:M54)</f>
        <v>56641.552083333336</v>
      </c>
    </row>
    <row r="57" spans="7:10" ht="12.75">
      <c r="G57" s="82" t="s">
        <v>33</v>
      </c>
      <c r="I57" s="1">
        <f>IF(K20=0,L37*L34,E37*E34)</f>
        <v>19653.81944444445</v>
      </c>
      <c r="J57" t="s">
        <v>34</v>
      </c>
    </row>
    <row r="59" ht="12.75">
      <c r="G59" s="129" t="s">
        <v>36</v>
      </c>
    </row>
    <row r="60" spans="8:11" ht="12.75">
      <c r="H60" s="33" t="s">
        <v>35</v>
      </c>
      <c r="I60" s="34">
        <f>M55/I57</f>
        <v>2.8819615568079424</v>
      </c>
      <c r="J60" s="135" t="str">
        <f>IF(I60&gt;1.5,"&gt; 1,5: verificato","&lt; 1,5: non verificato")</f>
        <v>&gt; 1,5: verificato</v>
      </c>
      <c r="K60" s="135"/>
    </row>
    <row r="63" spans="1:8" ht="12.75">
      <c r="A63" s="4" t="s">
        <v>82</v>
      </c>
      <c r="F63" t="s">
        <v>115</v>
      </c>
      <c r="G63" s="16">
        <f>E35</f>
        <v>3233.3333333333335</v>
      </c>
      <c r="H63" t="s">
        <v>18</v>
      </c>
    </row>
    <row r="66" spans="2:7" ht="12.75">
      <c r="B66" s="82" t="s">
        <v>37</v>
      </c>
      <c r="G66" s="42"/>
    </row>
    <row r="68" spans="1:5" ht="12.75">
      <c r="A68" t="s">
        <v>40</v>
      </c>
      <c r="D68" s="34">
        <f>K7/6</f>
        <v>0.5750000000000001</v>
      </c>
      <c r="E68" t="s">
        <v>9</v>
      </c>
    </row>
    <row r="70" spans="1:8" ht="12.75">
      <c r="A70" t="s">
        <v>64</v>
      </c>
      <c r="H70" t="s">
        <v>65</v>
      </c>
    </row>
    <row r="71" spans="1:12" ht="12.75">
      <c r="A71" t="s">
        <v>66</v>
      </c>
      <c r="D71" s="34">
        <f>M55</f>
        <v>56641.552083333336</v>
      </c>
      <c r="E71" t="s">
        <v>34</v>
      </c>
      <c r="H71" t="s">
        <v>66</v>
      </c>
      <c r="K71" s="34">
        <f>M53+(L38*L54)</f>
        <v>56641.552083333336</v>
      </c>
      <c r="L71" t="s">
        <v>34</v>
      </c>
    </row>
    <row r="72" spans="1:12" ht="12.75">
      <c r="A72" t="s">
        <v>67</v>
      </c>
      <c r="D72" s="34">
        <f>I57</f>
        <v>19653.81944444445</v>
      </c>
      <c r="E72" t="s">
        <v>34</v>
      </c>
      <c r="H72" t="s">
        <v>67</v>
      </c>
      <c r="K72" s="34">
        <f>L37*L34</f>
        <v>16898.611111111113</v>
      </c>
      <c r="L72" t="s">
        <v>34</v>
      </c>
    </row>
    <row r="73" spans="1:12" ht="12.75">
      <c r="A73" t="s">
        <v>68</v>
      </c>
      <c r="D73" s="34">
        <f>K55</f>
        <v>28156.75</v>
      </c>
      <c r="E73" t="s">
        <v>18</v>
      </c>
      <c r="H73" t="s">
        <v>68</v>
      </c>
      <c r="K73" s="34">
        <f>K53+L38</f>
        <v>28156.75</v>
      </c>
      <c r="L73" t="s">
        <v>18</v>
      </c>
    </row>
    <row r="74" spans="1:12" ht="12.75">
      <c r="A74" t="s">
        <v>38</v>
      </c>
      <c r="D74" s="34">
        <f>(M55-I57)/K55</f>
        <v>1.3136364331426351</v>
      </c>
      <c r="E74" t="s">
        <v>9</v>
      </c>
      <c r="H74" t="s">
        <v>38</v>
      </c>
      <c r="K74" s="34">
        <f>(K71-K72)/K73</f>
        <v>1.411488931507444</v>
      </c>
      <c r="L74" t="s">
        <v>9</v>
      </c>
    </row>
    <row r="75" spans="1:12" ht="12.75">
      <c r="A75" t="s">
        <v>39</v>
      </c>
      <c r="D75" s="34">
        <f>(K7/2)-D74</f>
        <v>0.41136356685736497</v>
      </c>
      <c r="E75" t="s">
        <v>9</v>
      </c>
      <c r="H75" t="s">
        <v>39</v>
      </c>
      <c r="K75" s="34">
        <f>(K7/2)-K74</f>
        <v>0.31351106849255617</v>
      </c>
      <c r="L75" t="s">
        <v>9</v>
      </c>
    </row>
    <row r="76" spans="1:12" ht="12.75">
      <c r="A76" s="135" t="str">
        <f>IF(D75&lt;=D68,"verificato","non verificato: cal. senza sovraccarico")</f>
        <v>verificato</v>
      </c>
      <c r="B76" s="135"/>
      <c r="C76" s="135"/>
      <c r="D76" s="135"/>
      <c r="E76" s="135"/>
      <c r="H76" s="135" t="str">
        <f>IF(K75&lt;=D68,"verificato","non verificato: cambiare dimensioni")</f>
        <v>verificato</v>
      </c>
      <c r="I76" s="135"/>
      <c r="J76" s="135"/>
      <c r="K76" s="135"/>
      <c r="L76" s="135"/>
    </row>
    <row r="77" spans="1:12" ht="12.75">
      <c r="A77" s="1"/>
      <c r="B77" s="1"/>
      <c r="C77" s="1"/>
      <c r="D77" s="1"/>
      <c r="E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H79" s="1"/>
      <c r="I79" s="1"/>
      <c r="J79" s="1"/>
      <c r="K79" s="1"/>
      <c r="L79" s="1"/>
    </row>
    <row r="80" ht="12.75">
      <c r="B80" s="82" t="s">
        <v>41</v>
      </c>
    </row>
    <row r="82" spans="1:7" ht="12.75">
      <c r="A82" t="s">
        <v>44</v>
      </c>
      <c r="B82" s="34">
        <f>K55*K16</f>
        <v>14078.375</v>
      </c>
      <c r="C82" t="s">
        <v>18</v>
      </c>
      <c r="G82" t="s">
        <v>46</v>
      </c>
    </row>
    <row r="83" spans="1:11" ht="12.75">
      <c r="A83" t="s">
        <v>45</v>
      </c>
      <c r="B83" s="34">
        <f>E37</f>
        <v>9775.000000000002</v>
      </c>
      <c r="C83" t="s">
        <v>18</v>
      </c>
      <c r="H83" s="2" t="s">
        <v>35</v>
      </c>
      <c r="I83" s="34">
        <f>B82/B83</f>
        <v>1.4402429667519179</v>
      </c>
      <c r="J83" s="135" t="str">
        <f>IF(I83&gt;=1.3,"&gt;= 1,3: verificato","&lt; 1,3: non verificato")</f>
        <v>&gt;= 1,3: verificato</v>
      </c>
      <c r="K83" s="135"/>
    </row>
    <row r="85" spans="1:7" ht="12.75">
      <c r="A85" t="s">
        <v>47</v>
      </c>
      <c r="E85" s="16">
        <f>IF(J83="&lt; 1,3: non verificato",DEGREES(ATAN((2*E37-K55*K16)/(E37*K16+K55*2))),0)</f>
        <v>0</v>
      </c>
      <c r="F85" s="5" t="s">
        <v>10</v>
      </c>
      <c r="G85" t="str">
        <f>IF(E85=0,"non è necessario inclinare la base di fondazione","")</f>
        <v>non è necessario inclinare la base di fondazione</v>
      </c>
    </row>
    <row r="89" ht="12.75">
      <c r="B89" s="82" t="s">
        <v>70</v>
      </c>
    </row>
    <row r="91" spans="1:13" ht="14.25">
      <c r="A91" t="s">
        <v>48</v>
      </c>
      <c r="D91" s="63">
        <f>IF(K6/K7&gt;1,ATAN(K6/K7),K6/K7)</f>
        <v>0.15942028985507248</v>
      </c>
      <c r="E91" s="16"/>
      <c r="H91" t="s">
        <v>74</v>
      </c>
      <c r="M91" s="49">
        <f>1+2*TAN(K25)*(1-SIN(K25))^2*D91</f>
        <v>1.046020673631057</v>
      </c>
    </row>
    <row r="92" spans="1:13" ht="12.75">
      <c r="A92" t="s">
        <v>73</v>
      </c>
      <c r="D92">
        <f>K17*0.7</f>
        <v>0</v>
      </c>
      <c r="E92" s="16"/>
      <c r="H92" t="s">
        <v>75</v>
      </c>
      <c r="M92" s="49">
        <f>1+0.04*D91</f>
        <v>1.006376811594203</v>
      </c>
    </row>
    <row r="93" spans="1:13" ht="12.75">
      <c r="A93" t="s">
        <v>80</v>
      </c>
      <c r="D93" s="49">
        <f>K7-(2*D75)</f>
        <v>2.6272728662852702</v>
      </c>
      <c r="E93" s="16"/>
      <c r="H93" t="s">
        <v>109</v>
      </c>
      <c r="M93" s="64">
        <f>K15</f>
        <v>1</v>
      </c>
    </row>
    <row r="95" spans="1:13" ht="14.25">
      <c r="A95" t="s">
        <v>51</v>
      </c>
      <c r="D95" s="49">
        <f>EXP(PI()*TAN(K25))*(TAN(RADIANS(45)+(K25/2)))^2</f>
        <v>18.401122218708668</v>
      </c>
      <c r="E95" s="16"/>
      <c r="H95" t="s">
        <v>77</v>
      </c>
      <c r="M95" s="63">
        <f>(1-(0.5*E37)/(K55+D93*D92*ATAN(K25)))^2</f>
        <v>0.6829670029681298</v>
      </c>
    </row>
    <row r="96" spans="1:13" ht="12.75">
      <c r="A96" t="s">
        <v>49</v>
      </c>
      <c r="D96" s="49">
        <f>(D95-1)*ATAN(K25)</f>
        <v>8.39339488340327</v>
      </c>
      <c r="E96" s="16"/>
      <c r="H96" t="s">
        <v>79</v>
      </c>
      <c r="M96" s="63">
        <f>M95-((1-D95)/(D95-1))</f>
        <v>1.6829670029681298</v>
      </c>
    </row>
    <row r="97" spans="1:13" ht="14.25">
      <c r="A97" t="s">
        <v>50</v>
      </c>
      <c r="D97" s="49">
        <f>1.5*(D95-1)*TAN(K25)</f>
        <v>15.069813895759541</v>
      </c>
      <c r="E97" s="16"/>
      <c r="H97" t="s">
        <v>78</v>
      </c>
      <c r="M97" s="63">
        <f>(1-(0.7*E37)/(K55+D93*D92*ATAN(K25)))^3</f>
        <v>0.43377307566164747</v>
      </c>
    </row>
    <row r="99" spans="1:12" ht="14.25">
      <c r="A99" t="s">
        <v>97</v>
      </c>
      <c r="H99" s="2">
        <f>(K17*D96*M92*M96)+(K18*K6*D95*M91*M95)+((K18/2)*K7*D97*M93*M97)</f>
        <v>29610.019001446675</v>
      </c>
      <c r="I99" s="5" t="s">
        <v>159</v>
      </c>
      <c r="K99" s="34">
        <f>H99/10000</f>
        <v>2.9610019001446677</v>
      </c>
      <c r="L99" s="5" t="s">
        <v>160</v>
      </c>
    </row>
    <row r="102" ht="15.75">
      <c r="B102" s="83" t="s">
        <v>189</v>
      </c>
    </row>
    <row r="104" spans="1:9" ht="14.25">
      <c r="A104" s="43" t="s">
        <v>112</v>
      </c>
      <c r="H104" s="34">
        <f>IF(D75&lt;=D68,((K55+E38)/(100*(K7*100)))*(1+(6*D75*100)/(100*K7)),(2*(K55+E38)/(300*(100*D74))))</f>
        <v>1.4000147378001822</v>
      </c>
      <c r="I104" s="5" t="s">
        <v>160</v>
      </c>
    </row>
    <row r="106" spans="2:5" ht="12.75">
      <c r="B106" t="s">
        <v>113</v>
      </c>
      <c r="E106" s="3" t="s">
        <v>114</v>
      </c>
    </row>
    <row r="109" ht="12.75">
      <c r="B109" s="82" t="s">
        <v>81</v>
      </c>
    </row>
    <row r="111" spans="1:4" ht="12.75">
      <c r="A111" t="s">
        <v>190</v>
      </c>
      <c r="D111" s="16">
        <f>K99/H104</f>
        <v>2.1149790928610055</v>
      </c>
    </row>
    <row r="112" spans="1:4" ht="12.75">
      <c r="A112" s="135" t="str">
        <f>IF(D111&gt;=2,"verificato","non verificato")</f>
        <v>verificato</v>
      </c>
      <c r="B112" s="135"/>
      <c r="C112" s="135"/>
      <c r="D112" s="135"/>
    </row>
    <row r="114" ht="12.75">
      <c r="B114" s="82" t="s">
        <v>155</v>
      </c>
    </row>
    <row r="115" ht="13.5" thickBot="1"/>
    <row r="116" spans="11:13" ht="12.75">
      <c r="K116" s="111" t="s">
        <v>185</v>
      </c>
      <c r="L116" s="112"/>
      <c r="M116" s="113"/>
    </row>
    <row r="117" spans="1:13" ht="12.75">
      <c r="A117" s="126" t="s">
        <v>111</v>
      </c>
      <c r="B117" s="127"/>
      <c r="C117" s="127"/>
      <c r="D117" s="128"/>
      <c r="K117" s="103"/>
      <c r="L117" s="51"/>
      <c r="M117" s="114"/>
    </row>
    <row r="118" spans="7:13" ht="12.75">
      <c r="G118" s="135" t="s">
        <v>98</v>
      </c>
      <c r="H118" s="135"/>
      <c r="I118" s="135"/>
      <c r="K118" s="115" t="s">
        <v>186</v>
      </c>
      <c r="L118" s="105"/>
      <c r="M118" s="116">
        <v>250</v>
      </c>
    </row>
    <row r="119" spans="11:13" ht="12.75">
      <c r="K119" s="103"/>
      <c r="L119" s="51"/>
      <c r="M119" s="117">
        <v>300</v>
      </c>
    </row>
    <row r="120" spans="7:13" ht="12.75">
      <c r="G120" s="52" t="s">
        <v>22</v>
      </c>
      <c r="H120" s="69">
        <f>IF(K20=0,1/2*K18*(K5+(K6/2))^2*D29*COS(K28),1/2*K18*(K5+(K6/2))^2*D29*(1+(2*K13)/(K5+(K6/2)))*COS(K28))</f>
        <v>8906.000000000002</v>
      </c>
      <c r="I120" s="53" t="s">
        <v>18</v>
      </c>
      <c r="K120" s="103"/>
      <c r="L120" s="51"/>
      <c r="M120" s="117">
        <v>350</v>
      </c>
    </row>
    <row r="121" spans="3:13" ht="14.25">
      <c r="C121" s="1" t="s">
        <v>84</v>
      </c>
      <c r="D121" s="16">
        <f>H126</f>
        <v>0.3125</v>
      </c>
      <c r="E121" t="s">
        <v>9</v>
      </c>
      <c r="G121" s="52" t="s">
        <v>83</v>
      </c>
      <c r="H121" s="69">
        <f>E39</f>
        <v>3233.3333333333335</v>
      </c>
      <c r="I121" s="53" t="s">
        <v>159</v>
      </c>
      <c r="K121" s="118"/>
      <c r="L121" s="106"/>
      <c r="M121" s="119">
        <v>400</v>
      </c>
    </row>
    <row r="122" spans="7:13" ht="14.25">
      <c r="G122" s="52" t="s">
        <v>69</v>
      </c>
      <c r="H122" s="69">
        <f>E40</f>
        <v>0</v>
      </c>
      <c r="I122" s="53" t="s">
        <v>159</v>
      </c>
      <c r="K122" s="103"/>
      <c r="L122" s="51"/>
      <c r="M122" s="114"/>
    </row>
    <row r="123" spans="7:13" ht="12.75">
      <c r="G123" s="52" t="s">
        <v>21</v>
      </c>
      <c r="H123" s="69">
        <f>IF(K20=0,L34,E34)</f>
        <v>2.0106209150326797</v>
      </c>
      <c r="I123" s="53" t="s">
        <v>9</v>
      </c>
      <c r="K123" s="115" t="s">
        <v>184</v>
      </c>
      <c r="L123" s="110" t="s">
        <v>187</v>
      </c>
      <c r="M123" s="116">
        <v>2200</v>
      </c>
    </row>
    <row r="124" spans="7:13" ht="13.5" thickBot="1">
      <c r="G124" s="12" t="s">
        <v>1</v>
      </c>
      <c r="H124" s="70">
        <f>K10</f>
        <v>0.3</v>
      </c>
      <c r="I124" s="54" t="s">
        <v>9</v>
      </c>
      <c r="K124" s="120"/>
      <c r="L124" s="121" t="s">
        <v>188</v>
      </c>
      <c r="M124" s="122">
        <v>2600</v>
      </c>
    </row>
    <row r="125" spans="7:9" ht="12.75">
      <c r="G125" s="52" t="s">
        <v>0</v>
      </c>
      <c r="H125" s="71">
        <f>K5+K6/2</f>
        <v>5.4750000000000005</v>
      </c>
      <c r="I125" s="54" t="s">
        <v>9</v>
      </c>
    </row>
    <row r="126" spans="3:9" ht="12.75">
      <c r="C126" s="1" t="s">
        <v>85</v>
      </c>
      <c r="D126" s="16">
        <f>H125</f>
        <v>5.4750000000000005</v>
      </c>
      <c r="E126" t="s">
        <v>9</v>
      </c>
      <c r="G126" s="52" t="s">
        <v>54</v>
      </c>
      <c r="H126" s="69">
        <f>K13</f>
        <v>0.3125</v>
      </c>
      <c r="I126" s="54" t="s">
        <v>9</v>
      </c>
    </row>
    <row r="127" ht="12.75">
      <c r="J127" s="44"/>
    </row>
    <row r="129" spans="7:13" ht="12.75">
      <c r="G129" s="93" t="s">
        <v>181</v>
      </c>
      <c r="H129" s="98">
        <v>250</v>
      </c>
      <c r="I129" s="96"/>
      <c r="J129" s="51"/>
      <c r="K129" s="108"/>
      <c r="L129" s="109" t="s">
        <v>187</v>
      </c>
      <c r="M129" s="101"/>
    </row>
    <row r="130" spans="7:13" ht="15.75">
      <c r="G130" s="56" t="s">
        <v>167</v>
      </c>
      <c r="H130" s="97">
        <f>60+((H129-150)/4)</f>
        <v>85</v>
      </c>
      <c r="I130" s="90" t="s">
        <v>160</v>
      </c>
      <c r="J130" s="51"/>
      <c r="K130" s="57" t="s">
        <v>168</v>
      </c>
      <c r="L130" s="107">
        <f>INDEX(sigma_acciaio,MATCH(L129,FeB,0))</f>
        <v>2200</v>
      </c>
      <c r="M130" s="85" t="s">
        <v>160</v>
      </c>
    </row>
    <row r="131" spans="7:13" ht="14.25">
      <c r="G131" s="56" t="s">
        <v>194</v>
      </c>
      <c r="H131" s="95">
        <f>4+((H129-150)/75)</f>
        <v>5.333333333333333</v>
      </c>
      <c r="I131" s="84" t="s">
        <v>160</v>
      </c>
      <c r="J131" s="51"/>
      <c r="K131" s="51"/>
      <c r="L131" s="51"/>
      <c r="M131" s="51"/>
    </row>
    <row r="132" spans="7:13" ht="14.25">
      <c r="G132" s="57" t="s">
        <v>195</v>
      </c>
      <c r="H132" s="95">
        <f>14+((H129-150)/35)</f>
        <v>16.857142857142858</v>
      </c>
      <c r="I132" s="85" t="s">
        <v>160</v>
      </c>
      <c r="J132" s="51"/>
      <c r="K132" s="51"/>
      <c r="L132" s="51"/>
      <c r="M132" s="51"/>
    </row>
    <row r="133" spans="7:8" ht="12.75">
      <c r="G133" s="4" t="s">
        <v>166</v>
      </c>
      <c r="H133" s="72">
        <v>15</v>
      </c>
    </row>
    <row r="134" spans="2:8" ht="12.75">
      <c r="B134" t="s">
        <v>86</v>
      </c>
      <c r="G134" s="86" t="s">
        <v>165</v>
      </c>
      <c r="H134" s="88">
        <v>0.4</v>
      </c>
    </row>
    <row r="135" spans="7:8" ht="12.75">
      <c r="G135" s="133" t="s">
        <v>197</v>
      </c>
      <c r="H135" s="132">
        <v>3.5</v>
      </c>
    </row>
    <row r="137" spans="5:7" ht="12.75">
      <c r="E137" s="2" t="s">
        <v>87</v>
      </c>
      <c r="F137" s="73">
        <f>K8*100</f>
        <v>55.00000000000001</v>
      </c>
      <c r="G137" t="s">
        <v>88</v>
      </c>
    </row>
    <row r="138" spans="8:11" ht="12.75">
      <c r="H138" s="55" t="s">
        <v>144</v>
      </c>
      <c r="J138" s="2">
        <f>H120*H123</f>
        <v>17906.589869281048</v>
      </c>
      <c r="K138" t="s">
        <v>34</v>
      </c>
    </row>
    <row r="139" spans="8:11" ht="12.75">
      <c r="H139" s="55" t="s">
        <v>145</v>
      </c>
      <c r="J139" s="34">
        <f>H120</f>
        <v>8906.000000000002</v>
      </c>
      <c r="K139" t="s">
        <v>18</v>
      </c>
    </row>
    <row r="140" spans="2:3" ht="12.75">
      <c r="B140" s="2" t="s">
        <v>89</v>
      </c>
      <c r="C140" s="1">
        <v>100</v>
      </c>
    </row>
    <row r="142" spans="1:4" ht="15.75">
      <c r="A142" s="65" t="s">
        <v>198</v>
      </c>
      <c r="C142" s="74">
        <f>F137-H135</f>
        <v>51.50000000000001</v>
      </c>
      <c r="D142" t="s">
        <v>88</v>
      </c>
    </row>
    <row r="144" spans="1:6" ht="15.75">
      <c r="A144" s="43" t="s">
        <v>199</v>
      </c>
      <c r="C144" s="75">
        <f>C142/SQRT(J138*100/C140)</f>
        <v>0.38485823667527475</v>
      </c>
      <c r="F144" s="46"/>
    </row>
    <row r="145" spans="1:5" ht="15.75">
      <c r="A145" s="47" t="s">
        <v>200</v>
      </c>
      <c r="C145" s="34">
        <f>H135/(F137-H135)</f>
        <v>0.06796116504854367</v>
      </c>
      <c r="D145" s="89" t="s">
        <v>90</v>
      </c>
      <c r="E145" s="91">
        <f>1/(C144*L130*(1-C146/3+(C146/3-C145)*((C146-C145)/(1-C146))*H134))</f>
        <v>0.001330093865248166</v>
      </c>
    </row>
    <row r="146" spans="1:4" ht="15.75">
      <c r="A146" t="s">
        <v>179</v>
      </c>
      <c r="C146" s="49">
        <f>(H133*H130)/(H133*H130+L130)</f>
        <v>0.3669064748201439</v>
      </c>
      <c r="D146" t="s">
        <v>88</v>
      </c>
    </row>
    <row r="147" spans="5:9" ht="12.75">
      <c r="E147" s="61"/>
      <c r="F147" s="61"/>
      <c r="G147" s="61"/>
      <c r="H147" s="61"/>
      <c r="I147" s="61"/>
    </row>
    <row r="148" spans="1:9" ht="14.25">
      <c r="A148" t="s">
        <v>191</v>
      </c>
      <c r="C148" s="34">
        <f>E145*C140*SQRT(J138*100/C140)</f>
        <v>17.79871847151799</v>
      </c>
      <c r="D148" s="5" t="s">
        <v>161</v>
      </c>
      <c r="E148" s="61"/>
      <c r="F148" s="61"/>
      <c r="G148" s="61"/>
      <c r="H148" s="61"/>
      <c r="I148" s="61"/>
    </row>
    <row r="149" spans="1:4" ht="14.25">
      <c r="A149" t="s">
        <v>91</v>
      </c>
      <c r="C149" s="34">
        <f>H134*C148</f>
        <v>7.1194873886071965</v>
      </c>
      <c r="D149" s="5" t="s">
        <v>161</v>
      </c>
    </row>
    <row r="150" spans="3:4" ht="12.75">
      <c r="C150" s="34"/>
      <c r="D150" s="5"/>
    </row>
    <row r="151" spans="1:5" ht="12.75">
      <c r="A151" s="126" t="s">
        <v>110</v>
      </c>
      <c r="B151" s="102"/>
      <c r="C151" s="102"/>
      <c r="D151" s="102"/>
      <c r="E151" s="104"/>
    </row>
    <row r="159" ht="12.75">
      <c r="E159" s="48"/>
    </row>
    <row r="160" spans="9:11" ht="12.75">
      <c r="I160" s="2" t="s">
        <v>92</v>
      </c>
      <c r="J160" s="34">
        <f>C161/2</f>
        <v>1.3687500000000001</v>
      </c>
      <c r="K160" t="s">
        <v>9</v>
      </c>
    </row>
    <row r="161" spans="3:4" ht="12.75">
      <c r="C161" s="16">
        <f>D126/2</f>
        <v>2.7375000000000003</v>
      </c>
      <c r="D161" t="s">
        <v>9</v>
      </c>
    </row>
    <row r="163" spans="9:11" ht="12.75">
      <c r="I163" s="2" t="s">
        <v>93</v>
      </c>
      <c r="J163" s="34">
        <f>C161/3</f>
        <v>0.9125000000000001</v>
      </c>
      <c r="K163" t="s">
        <v>9</v>
      </c>
    </row>
    <row r="169" spans="1:5" ht="14.25">
      <c r="A169" s="55" t="s">
        <v>201</v>
      </c>
      <c r="D169" s="34">
        <f>(H121+H122)/2</f>
        <v>1616.6666666666667</v>
      </c>
      <c r="E169" t="s">
        <v>159</v>
      </c>
    </row>
    <row r="171" spans="1:5" ht="12.75">
      <c r="A171" s="55" t="s">
        <v>94</v>
      </c>
      <c r="D171" s="34">
        <f>H122*C161</f>
        <v>0</v>
      </c>
      <c r="E171" t="s">
        <v>18</v>
      </c>
    </row>
    <row r="172" spans="1:5" ht="12.75">
      <c r="A172" s="55" t="s">
        <v>95</v>
      </c>
      <c r="D172" s="34">
        <f>(D169-H122)*(C161/2)</f>
        <v>2212.8125000000005</v>
      </c>
      <c r="E172" t="s">
        <v>18</v>
      </c>
    </row>
    <row r="174" spans="1:6" ht="12.75">
      <c r="A174" s="55" t="s">
        <v>99</v>
      </c>
      <c r="E174" s="34">
        <f>(D171*J160)+(D172*J163)</f>
        <v>2019.1914062500007</v>
      </c>
      <c r="F174" t="s">
        <v>34</v>
      </c>
    </row>
    <row r="175" spans="1:6" ht="12.75">
      <c r="A175" s="55" t="s">
        <v>152</v>
      </c>
      <c r="D175" s="1" t="s">
        <v>153</v>
      </c>
      <c r="E175" s="34">
        <f>D171+D172</f>
        <v>2212.8125000000005</v>
      </c>
      <c r="F175" t="s">
        <v>18</v>
      </c>
    </row>
    <row r="177" spans="2:14" ht="12.75">
      <c r="B177" t="s">
        <v>86</v>
      </c>
      <c r="H177" s="93" t="s">
        <v>181</v>
      </c>
      <c r="I177" s="123">
        <f>H129</f>
        <v>250</v>
      </c>
      <c r="J177" s="94"/>
      <c r="K177" s="51"/>
      <c r="L177" s="99"/>
      <c r="M177" s="100" t="str">
        <f>L129</f>
        <v>FeB38k</v>
      </c>
      <c r="N177" s="101"/>
    </row>
    <row r="178" spans="8:14" ht="15.75">
      <c r="H178" s="56" t="s">
        <v>167</v>
      </c>
      <c r="I178" s="123">
        <f>H130</f>
        <v>85</v>
      </c>
      <c r="J178" s="84" t="s">
        <v>160</v>
      </c>
      <c r="K178" s="51"/>
      <c r="L178" s="57" t="s">
        <v>168</v>
      </c>
      <c r="M178" s="107">
        <f>L130</f>
        <v>2200</v>
      </c>
      <c r="N178" s="85" t="s">
        <v>160</v>
      </c>
    </row>
    <row r="179" spans="4:14" ht="14.25">
      <c r="D179" s="2" t="s">
        <v>87</v>
      </c>
      <c r="E179" s="73">
        <f>H124*100</f>
        <v>30</v>
      </c>
      <c r="F179" t="s">
        <v>88</v>
      </c>
      <c r="H179" s="56" t="s">
        <v>194</v>
      </c>
      <c r="I179" s="95">
        <f>H131</f>
        <v>5.333333333333333</v>
      </c>
      <c r="J179" s="84" t="s">
        <v>160</v>
      </c>
      <c r="K179" s="51"/>
      <c r="L179" s="51"/>
      <c r="M179" s="51"/>
      <c r="N179" s="51"/>
    </row>
    <row r="180" spans="8:14" ht="14.25">
      <c r="H180" s="57" t="s">
        <v>195</v>
      </c>
      <c r="I180" s="95">
        <f>H132</f>
        <v>16.857142857142858</v>
      </c>
      <c r="J180" s="85" t="s">
        <v>160</v>
      </c>
      <c r="K180" s="51"/>
      <c r="L180" s="51"/>
      <c r="M180" s="51"/>
      <c r="N180" s="51"/>
    </row>
    <row r="181" spans="2:9" ht="12.75">
      <c r="B181" s="2" t="s">
        <v>89</v>
      </c>
      <c r="C181" s="1">
        <v>100</v>
      </c>
      <c r="H181" s="4" t="s">
        <v>166</v>
      </c>
      <c r="I181" s="124">
        <f>H133</f>
        <v>15</v>
      </c>
    </row>
    <row r="182" spans="8:9" ht="12.75">
      <c r="H182" s="86" t="s">
        <v>165</v>
      </c>
      <c r="I182" s="87">
        <v>0</v>
      </c>
    </row>
    <row r="183" spans="1:4" ht="15.75">
      <c r="A183" s="65" t="s">
        <v>202</v>
      </c>
      <c r="C183" s="74">
        <f>E179-3.5</f>
        <v>26.5</v>
      </c>
      <c r="D183" t="s">
        <v>88</v>
      </c>
    </row>
    <row r="185" spans="1:3" ht="15.75">
      <c r="A185" s="43" t="s">
        <v>203</v>
      </c>
      <c r="C185" s="75">
        <f>C183/SQRT(E174)</f>
        <v>0.5897353068721294</v>
      </c>
    </row>
    <row r="186" spans="1:11" ht="15.75">
      <c r="A186" s="47" t="s">
        <v>200</v>
      </c>
      <c r="C186" s="34">
        <f>H135/C183</f>
        <v>0.1320754716981132</v>
      </c>
      <c r="E186" s="45" t="s">
        <v>90</v>
      </c>
      <c r="F186" s="1">
        <f>1/(C185*L130*(1-C187/3+(C187/3-C186)*((C187-C186)/(1-C186))*I182))</f>
        <v>0.0008781630496831773</v>
      </c>
      <c r="H186" t="s">
        <v>192</v>
      </c>
      <c r="J186" s="34">
        <f>F186*C181*SQRT(E174)</f>
        <v>3.9460619951740576</v>
      </c>
      <c r="K186" t="s">
        <v>161</v>
      </c>
    </row>
    <row r="187" spans="1:11" ht="15.75">
      <c r="A187" t="s">
        <v>179</v>
      </c>
      <c r="C187" s="34">
        <f>(H133*H130)/(H133*H130+L130)</f>
        <v>0.3669064748201439</v>
      </c>
      <c r="D187" t="s">
        <v>88</v>
      </c>
      <c r="E187" s="45"/>
      <c r="F187" s="9"/>
      <c r="H187" t="s">
        <v>91</v>
      </c>
      <c r="J187" s="34">
        <f>J186*I182</f>
        <v>0</v>
      </c>
      <c r="K187" t="s">
        <v>161</v>
      </c>
    </row>
    <row r="189" spans="1:9" ht="14.25">
      <c r="A189" s="55" t="s">
        <v>96</v>
      </c>
      <c r="C189" s="34">
        <f>(20/100)*C148</f>
        <v>3.5597436943035983</v>
      </c>
      <c r="D189" t="s">
        <v>162</v>
      </c>
      <c r="F189" s="60"/>
      <c r="G189" s="60"/>
      <c r="H189" s="60"/>
      <c r="I189" s="60"/>
    </row>
    <row r="190" spans="6:9" ht="12.75">
      <c r="F190" s="60"/>
      <c r="G190" s="60"/>
      <c r="H190" s="60"/>
      <c r="I190" s="60"/>
    </row>
    <row r="191" spans="1:9" ht="12.75">
      <c r="A191" s="83" t="s">
        <v>193</v>
      </c>
      <c r="H191" s="50"/>
      <c r="I191" s="9"/>
    </row>
    <row r="193" spans="1:7" ht="15.75">
      <c r="A193" s="43" t="s">
        <v>100</v>
      </c>
      <c r="D193" s="34">
        <f>J139/(0.9*C140*C142)</f>
        <v>1.9214670981661273</v>
      </c>
      <c r="E193" s="5" t="s">
        <v>160</v>
      </c>
      <c r="F193" s="1" t="str">
        <f>IF(D193&lt;=H131,"&lt;=","&gt;")</f>
        <v>&lt;=</v>
      </c>
      <c r="G193" s="130" t="s">
        <v>196</v>
      </c>
    </row>
    <row r="194" spans="1:4" ht="12.75">
      <c r="A194" s="135" t="str">
        <f>IF(D193&lt;=H131,"verificato","non verificato")</f>
        <v>verificato</v>
      </c>
      <c r="B194" s="135"/>
      <c r="C194" s="135"/>
      <c r="D194" s="135"/>
    </row>
    <row r="196" ht="12.75">
      <c r="B196" s="82" t="s">
        <v>158</v>
      </c>
    </row>
    <row r="198" spans="3:10" ht="12.75">
      <c r="C198" s="135" t="s">
        <v>157</v>
      </c>
      <c r="D198" s="135"/>
      <c r="I198" s="135" t="s">
        <v>156</v>
      </c>
      <c r="J198" s="135"/>
    </row>
    <row r="201" ht="12.75">
      <c r="K201" t="s">
        <v>205</v>
      </c>
    </row>
    <row r="204" spans="6:13" ht="12.75">
      <c r="F204" s="1" t="s">
        <v>103</v>
      </c>
      <c r="M204" s="1" t="s">
        <v>103</v>
      </c>
    </row>
    <row r="206" spans="2:12" ht="12.75">
      <c r="B206" s="58" t="s">
        <v>101</v>
      </c>
      <c r="H206" s="58" t="s">
        <v>101</v>
      </c>
      <c r="L206" s="59" t="s">
        <v>154</v>
      </c>
    </row>
    <row r="207" spans="4:10" ht="12.75">
      <c r="D207" s="59" t="s">
        <v>102</v>
      </c>
      <c r="J207" s="59" t="s">
        <v>102</v>
      </c>
    </row>
    <row r="208" spans="3:11" ht="12.75">
      <c r="C208" s="1" t="s">
        <v>8</v>
      </c>
      <c r="D208" s="1" t="s">
        <v>5</v>
      </c>
      <c r="I208" s="5" t="s">
        <v>32</v>
      </c>
      <c r="K208" s="5" t="s">
        <v>5</v>
      </c>
    </row>
    <row r="210" spans="3:10" ht="12.75">
      <c r="C210" s="2" t="s">
        <v>104</v>
      </c>
      <c r="J210" s="1" t="s">
        <v>104</v>
      </c>
    </row>
    <row r="211" spans="3:11" ht="12.75">
      <c r="C211" s="5"/>
      <c r="D211" s="1"/>
      <c r="I211" s="5"/>
      <c r="K211" s="5"/>
    </row>
    <row r="212" spans="4:10" ht="12.75">
      <c r="D212" s="5" t="s">
        <v>2</v>
      </c>
      <c r="J212" s="5" t="s">
        <v>2</v>
      </c>
    </row>
    <row r="213" spans="3:10" ht="12.75">
      <c r="C213" s="2"/>
      <c r="J213" s="1"/>
    </row>
    <row r="214" spans="1:11" ht="12.75">
      <c r="A214" s="135" t="str">
        <f>IF(B219&lt;B218,"disegno corretto nella situazione in esame","disegno da non considerare nella situazione in esame")</f>
        <v>disegno da non considerare nella situazione in esame</v>
      </c>
      <c r="B214" s="135"/>
      <c r="C214" s="135"/>
      <c r="D214" s="135"/>
      <c r="E214" s="135"/>
      <c r="H214" s="135" t="str">
        <f>IF(B219&gt;B218,"disegno corretto nella situazione in esame","disegno da non considerare nella situazione in esame")</f>
        <v>disegno corretto nella situazione in esame</v>
      </c>
      <c r="I214" s="135"/>
      <c r="J214" s="135"/>
      <c r="K214" s="135"/>
    </row>
    <row r="216" ht="12.75">
      <c r="A216" t="s">
        <v>105</v>
      </c>
    </row>
    <row r="217" spans="1:3" ht="12.75">
      <c r="A217" s="62" t="s">
        <v>42</v>
      </c>
      <c r="B217" s="134">
        <f>B219-B218</f>
        <v>0.49090929942790495</v>
      </c>
      <c r="C217" s="5" t="s">
        <v>9</v>
      </c>
    </row>
    <row r="218" spans="1:3" ht="12.75">
      <c r="A218" s="62" t="s">
        <v>2</v>
      </c>
      <c r="B218" s="76">
        <f>K7</f>
        <v>3.45</v>
      </c>
      <c r="C218" s="5" t="s">
        <v>9</v>
      </c>
    </row>
    <row r="219" spans="1:3" ht="12.75">
      <c r="A219" s="62" t="s">
        <v>104</v>
      </c>
      <c r="B219" s="76">
        <f>3*D74</f>
        <v>3.940909299427905</v>
      </c>
      <c r="C219" s="5" t="s">
        <v>9</v>
      </c>
    </row>
    <row r="220" spans="1:3" ht="12.75">
      <c r="A220" s="62" t="s">
        <v>8</v>
      </c>
      <c r="B220" s="76">
        <f>K12+(K8/2)</f>
        <v>1.025</v>
      </c>
      <c r="C220" s="5" t="s">
        <v>9</v>
      </c>
    </row>
    <row r="221" spans="1:12" ht="14.25">
      <c r="A221" s="4" t="s">
        <v>5</v>
      </c>
      <c r="B221" s="76">
        <f>B219-B220</f>
        <v>2.915909299427905</v>
      </c>
      <c r="C221" s="5" t="s">
        <v>9</v>
      </c>
      <c r="E221" s="58" t="s">
        <v>107</v>
      </c>
      <c r="J221" s="7" t="s">
        <v>108</v>
      </c>
      <c r="K221" s="34">
        <f>(B222*B221)/B219</f>
        <v>1.0358817427948148</v>
      </c>
      <c r="L221" s="5" t="s">
        <v>160</v>
      </c>
    </row>
    <row r="222" spans="1:12" ht="14.25">
      <c r="A222" s="6" t="s">
        <v>106</v>
      </c>
      <c r="B222" s="76">
        <f>H104</f>
        <v>1.4000147378001822</v>
      </c>
      <c r="C222" s="5" t="s">
        <v>160</v>
      </c>
      <c r="E222" s="58" t="s">
        <v>169</v>
      </c>
      <c r="J222" s="7" t="s">
        <v>204</v>
      </c>
      <c r="K222" s="34">
        <f>IF((B222*B217)/B219&lt;0,"--",(B222*B217)/B219)</f>
        <v>0.1743963643674826</v>
      </c>
      <c r="L222" s="5" t="s">
        <v>160</v>
      </c>
    </row>
    <row r="224" spans="1:14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1:14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1:14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1:14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1:14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1:14" ht="12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1:14" ht="12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1:14" ht="12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1:14" ht="12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1:14" ht="12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1:14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1:14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1:14" ht="12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1:14" ht="12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1:14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1:14" ht="12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1:14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1:14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1:14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1:14" ht="12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1:14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1:14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1:14" ht="12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1:14" ht="12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1:14" ht="12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1:14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1:14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1:14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1:14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1:14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1:14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1:14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1:14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</row>
    <row r="257" spans="1:14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</row>
    <row r="258" spans="1:14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</row>
    <row r="259" spans="1:14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</row>
    <row r="260" spans="1:14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</row>
    <row r="261" spans="1:14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</row>
    <row r="262" spans="1:14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</row>
    <row r="263" spans="1:14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</row>
    <row r="264" spans="1:14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</row>
    <row r="265" spans="1:14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</row>
    <row r="266" spans="1:14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</row>
    <row r="267" spans="1:14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</row>
    <row r="268" spans="1:14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</row>
    <row r="269" spans="1:14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</row>
    <row r="270" spans="1:14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</row>
    <row r="271" spans="1:14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</row>
    <row r="272" spans="1:14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</row>
    <row r="273" spans="1:14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</row>
    <row r="274" spans="1:14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</row>
    <row r="275" spans="1:14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</row>
    <row r="276" spans="1:14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</row>
    <row r="277" spans="1:14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</row>
    <row r="278" spans="1:14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4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</row>
    <row r="280" spans="1:14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</row>
    <row r="284" spans="1:14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</row>
    <row r="285" spans="1:14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</row>
    <row r="286" spans="1:14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</row>
    <row r="287" spans="1:14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</row>
    <row r="288" spans="1:14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</row>
    <row r="290" spans="1:14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</row>
    <row r="292" spans="1:14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</row>
    <row r="293" spans="1:14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</row>
    <row r="294" spans="1:14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</row>
    <row r="295" spans="1:14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</row>
    <row r="298" spans="1:14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</row>
    <row r="299" spans="1:14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</row>
    <row r="300" spans="1:14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4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</row>
    <row r="304" spans="1:14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</row>
    <row r="305" spans="1:14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</row>
    <row r="306" spans="1:14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</row>
    <row r="307" spans="1:14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</row>
    <row r="308" spans="1:14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</row>
    <row r="311" spans="1:14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</row>
    <row r="312" spans="1:14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</row>
    <row r="313" spans="1:14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</row>
    <row r="317" spans="1:14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</row>
    <row r="318" spans="1:14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</row>
    <row r="319" spans="1:14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</row>
    <row r="320" spans="1:14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</row>
    <row r="321" spans="1:14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</row>
    <row r="322" spans="1:14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4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</row>
    <row r="324" spans="1:14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5" spans="1:14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</row>
    <row r="326" spans="1:14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</row>
    <row r="329" spans="1:14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</row>
    <row r="330" spans="1:14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</row>
    <row r="331" spans="1:14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</row>
    <row r="334" spans="1:14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spans="1:14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</row>
    <row r="336" spans="1:14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</row>
    <row r="337" spans="1:14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</row>
    <row r="338" spans="1:14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</row>
    <row r="339" spans="1:14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</row>
    <row r="340" spans="1:14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</row>
    <row r="341" spans="1:14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</row>
    <row r="344" spans="1:14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</row>
    <row r="346" spans="1:14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</row>
    <row r="347" spans="1:14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</row>
    <row r="348" spans="1:14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</row>
    <row r="349" spans="1:14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</row>
    <row r="350" spans="1:14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ht="12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</sheetData>
  <mergeCells count="13">
    <mergeCell ref="A76:E76"/>
    <mergeCell ref="A112:D112"/>
    <mergeCell ref="A23:A24"/>
    <mergeCell ref="H47:I47"/>
    <mergeCell ref="J60:K60"/>
    <mergeCell ref="G118:I118"/>
    <mergeCell ref="J83:K83"/>
    <mergeCell ref="H76:L76"/>
    <mergeCell ref="A194:D194"/>
    <mergeCell ref="H214:K214"/>
    <mergeCell ref="A214:E214"/>
    <mergeCell ref="C198:D198"/>
    <mergeCell ref="I198:J198"/>
  </mergeCells>
  <conditionalFormatting sqref="A77:D79">
    <cfRule type="cellIs" priority="1" dxfId="0" operator="equal" stopIfTrue="1">
      <formula>"non verificato: cal. senza sovraccarico"</formula>
    </cfRule>
    <cfRule type="cellIs" priority="2" dxfId="1" operator="equal" stopIfTrue="1">
      <formula>"verificato"</formula>
    </cfRule>
  </conditionalFormatting>
  <conditionalFormatting sqref="H77:L79">
    <cfRule type="cellIs" priority="3" dxfId="1" operator="equal" stopIfTrue="1">
      <formula>"verificato"</formula>
    </cfRule>
    <cfRule type="cellIs" priority="4" dxfId="0" operator="equal" stopIfTrue="1">
      <formula>"non verificato: cambiare dimensioni"</formula>
    </cfRule>
  </conditionalFormatting>
  <conditionalFormatting sqref="J60:K60">
    <cfRule type="cellIs" priority="5" dxfId="1" operator="equal" stopIfTrue="1">
      <formula>"&gt; 1,5: verificato"</formula>
    </cfRule>
    <cfRule type="cellIs" priority="6" dxfId="2" operator="equal" stopIfTrue="1">
      <formula>"&lt; 1,5: non verificato"</formula>
    </cfRule>
  </conditionalFormatting>
  <conditionalFormatting sqref="H76:L76">
    <cfRule type="cellIs" priority="7" dxfId="1" operator="equal" stopIfTrue="1">
      <formula>"verificato"</formula>
    </cfRule>
    <cfRule type="cellIs" priority="8" dxfId="2" operator="equal" stopIfTrue="1">
      <formula>"non verificato: cambiare dimensioni"</formula>
    </cfRule>
  </conditionalFormatting>
  <conditionalFormatting sqref="A76:E76">
    <cfRule type="cellIs" priority="9" dxfId="2" operator="equal" stopIfTrue="1">
      <formula>"non verificato: cal. senza sovraccarico"</formula>
    </cfRule>
    <cfRule type="cellIs" priority="10" dxfId="1" operator="equal" stopIfTrue="1">
      <formula>"verificato"</formula>
    </cfRule>
  </conditionalFormatting>
  <conditionalFormatting sqref="J83:K83">
    <cfRule type="cellIs" priority="11" dxfId="1" operator="equal" stopIfTrue="1">
      <formula>"&gt;= 1,3: verificato"</formula>
    </cfRule>
    <cfRule type="cellIs" priority="12" dxfId="2" operator="equal" stopIfTrue="1">
      <formula>"&lt; 1,3: non verificato"</formula>
    </cfRule>
  </conditionalFormatting>
  <conditionalFormatting sqref="A112:D112 A194:D194">
    <cfRule type="cellIs" priority="13" dxfId="1" operator="equal" stopIfTrue="1">
      <formula>"verificato"</formula>
    </cfRule>
    <cfRule type="cellIs" priority="14" dxfId="2" operator="equal" stopIfTrue="1">
      <formula>"non verificato"</formula>
    </cfRule>
  </conditionalFormatting>
  <conditionalFormatting sqref="A303:D303">
    <cfRule type="cellIs" priority="15" dxfId="2" operator="equal" stopIfTrue="1">
      <formula>"procedura non corretta, g tot. &gt; s 1"</formula>
    </cfRule>
    <cfRule type="cellIs" priority="16" dxfId="1" operator="equal" stopIfTrue="1">
      <formula>"procedura corretta, g tot. &lt; s 1"</formula>
    </cfRule>
  </conditionalFormatting>
  <conditionalFormatting sqref="A280:C280">
    <cfRule type="cellIs" priority="17" dxfId="2" operator="equal" stopIfTrue="1">
      <formula>"procedura non corretta, 3u &gt; Lf"</formula>
    </cfRule>
    <cfRule type="cellIs" priority="18" dxfId="1" operator="equal" stopIfTrue="1">
      <formula>"procedura corretta, 3u &lt; Lf"</formula>
    </cfRule>
  </conditionalFormatting>
  <conditionalFormatting sqref="A336:D336 A377:D377">
    <cfRule type="cellIs" priority="19" dxfId="2" operator="equal" stopIfTrue="1">
      <formula>"procedura non corretta, g tot. &lt; s 1"</formula>
    </cfRule>
    <cfRule type="cellIs" priority="20" dxfId="1" operator="equal" stopIfTrue="1">
      <formula>"procedura corretta, g tot. &gt; s 1"</formula>
    </cfRule>
  </conditionalFormatting>
  <conditionalFormatting sqref="A357:D357">
    <cfRule type="cellIs" priority="21" dxfId="2" operator="equal" stopIfTrue="1">
      <formula>"procedura non corretta, 3u &lt; Lf"</formula>
    </cfRule>
    <cfRule type="cellIs" priority="22" dxfId="1" operator="equal" stopIfTrue="1">
      <formula>"procedura corretta, 3u &gt; Lf"</formula>
    </cfRule>
  </conditionalFormatting>
  <conditionalFormatting sqref="A397:D397">
    <cfRule type="cellIs" priority="23" dxfId="1" operator="equal" stopIfTrue="1">
      <formula>"procedura corretta, g tot. &lt; s 1"</formula>
    </cfRule>
    <cfRule type="cellIs" priority="24" dxfId="2" operator="equal" stopIfTrue="1">
      <formula>"procedura non corretta, g tot. &gt; s 1"</formula>
    </cfRule>
  </conditionalFormatting>
  <conditionalFormatting sqref="H214:K214">
    <cfRule type="expression" priority="25" dxfId="1" stopIfTrue="1">
      <formula>$B$219&gt;$B$218</formula>
    </cfRule>
  </conditionalFormatting>
  <conditionalFormatting sqref="A214:E214">
    <cfRule type="expression" priority="26" dxfId="1" stopIfTrue="1">
      <formula>$B$219&lt;=$B$218</formula>
    </cfRule>
  </conditionalFormatting>
  <dataValidations count="2">
    <dataValidation type="list" allowBlank="1" showInputMessage="1" showErrorMessage="1" promptTitle="Attenzione!" prompt="scegli un valore dall'elenco" sqref="H129">
      <formula1>Rck</formula1>
    </dataValidation>
    <dataValidation type="list" allowBlank="1" showInputMessage="1" showErrorMessage="1" promptTitle="Attenzione!" prompt="Scegli un valore dall'elenco." sqref="L129">
      <formula1>FeB</formula1>
    </dataValidation>
  </dataValidations>
  <printOptions/>
  <pageMargins left="0.76" right="0.55" top="0.44" bottom="0.91" header="0.41" footer="0.5"/>
  <pageSetup horizontalDpi="600" verticalDpi="600" orientation="landscape" paperSize="9" scale="97" r:id="rId8"/>
  <headerFooter alignWithMargins="0">
    <oddFooter>&amp;L&amp;D&amp;CPoli Giancarlo, cl. 5_B geom.
I.T.G. "Battisti", Salò -Bs-&amp;Rpag. &amp;P / &amp;N</oddFooter>
  </headerFooter>
  <rowBreaks count="3" manualBreakCount="3">
    <brk id="113" max="255" man="1"/>
    <brk id="150" max="255" man="1"/>
    <brk id="189" max="255" man="1"/>
  </rowBreaks>
  <drawing r:id="rId7"/>
  <legacyDrawing r:id="rId6"/>
  <oleObjects>
    <oleObject progId="Equation.3" shapeId="742044" r:id="rId2"/>
    <oleObject progId="Equation.3" shapeId="228809" r:id="rId3"/>
    <oleObject progId="Equation.3" shapeId="800045" r:id="rId4"/>
    <oleObject progId="Equation.3" shapeId="80264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workbookViewId="0" topLeftCell="A1">
      <selection activeCell="D4" sqref="D4"/>
    </sheetView>
  </sheetViews>
  <sheetFormatPr defaultColWidth="9.140625" defaultRowHeight="12.75"/>
  <sheetData>
    <row r="1" ht="15">
      <c r="C1" s="131" t="s">
        <v>117</v>
      </c>
    </row>
    <row r="4" spans="1:7" ht="12.75">
      <c r="A4" t="s">
        <v>118</v>
      </c>
      <c r="E4" s="2" t="s">
        <v>123</v>
      </c>
      <c r="F4" s="2">
        <f>calcoli!L33</f>
        <v>8816.666666666668</v>
      </c>
      <c r="G4" s="5" t="s">
        <v>18</v>
      </c>
    </row>
    <row r="5" spans="1:7" ht="12.75">
      <c r="A5" t="s">
        <v>119</v>
      </c>
      <c r="E5" s="2" t="s">
        <v>124</v>
      </c>
      <c r="F5" s="34">
        <f>calcoli!L34</f>
        <v>1.9166666666666667</v>
      </c>
      <c r="G5" s="5" t="s">
        <v>9</v>
      </c>
    </row>
    <row r="6" ht="12.75">
      <c r="G6" s="5"/>
    </row>
    <row r="7" spans="1:7" ht="12.75">
      <c r="A7" t="s">
        <v>120</v>
      </c>
      <c r="E7" s="2" t="s">
        <v>123</v>
      </c>
      <c r="F7" s="2">
        <f>calcoli!E33</f>
        <v>9775.000000000002</v>
      </c>
      <c r="G7" s="5" t="s">
        <v>18</v>
      </c>
    </row>
    <row r="8" spans="1:7" ht="12.75">
      <c r="A8" t="s">
        <v>119</v>
      </c>
      <c r="E8" s="2" t="s">
        <v>124</v>
      </c>
      <c r="F8" s="34">
        <f>calcoli!E34</f>
        <v>2.0106209150326797</v>
      </c>
      <c r="G8" s="5" t="s">
        <v>9</v>
      </c>
    </row>
    <row r="10" spans="1:7" ht="15.75">
      <c r="A10" t="s">
        <v>121</v>
      </c>
      <c r="E10" s="2" t="s">
        <v>170</v>
      </c>
      <c r="F10" s="34">
        <f>calcoli!D71</f>
        <v>56641.552083333336</v>
      </c>
      <c r="G10" s="5" t="s">
        <v>34</v>
      </c>
    </row>
    <row r="11" spans="5:7" ht="15.75">
      <c r="E11" s="2" t="s">
        <v>171</v>
      </c>
      <c r="F11" s="34">
        <f>calcoli!D72</f>
        <v>19653.81944444445</v>
      </c>
      <c r="G11" s="5" t="s">
        <v>34</v>
      </c>
    </row>
    <row r="13" spans="5:7" ht="12.75">
      <c r="E13" s="5" t="s">
        <v>125</v>
      </c>
      <c r="G13" s="34">
        <f>calcoli!I60</f>
        <v>2.8819615568079424</v>
      </c>
    </row>
    <row r="15" spans="1:9" ht="12.75">
      <c r="A15" t="s">
        <v>122</v>
      </c>
      <c r="E15" s="5" t="s">
        <v>126</v>
      </c>
      <c r="G15" s="2" t="s">
        <v>127</v>
      </c>
      <c r="H15" s="34">
        <f>calcoli!D74</f>
        <v>1.3136364331426351</v>
      </c>
      <c r="I15" s="5" t="s">
        <v>9</v>
      </c>
    </row>
    <row r="16" spans="7:9" ht="12.75">
      <c r="G16" s="2" t="s">
        <v>128</v>
      </c>
      <c r="H16" s="34">
        <f>calcoli!D75</f>
        <v>0.41136356685736497</v>
      </c>
      <c r="I16" s="5" t="s">
        <v>9</v>
      </c>
    </row>
    <row r="17" spans="7:9" ht="12.75">
      <c r="G17" s="135" t="str">
        <f>IF(H16&lt;=calcoli!D68,"dentro il nocciolo","fuori dal nocciolo")</f>
        <v>dentro il nocciolo</v>
      </c>
      <c r="H17" s="135"/>
      <c r="I17" s="135"/>
    </row>
    <row r="18" spans="5:9" ht="12.75">
      <c r="E18" s="5" t="s">
        <v>129</v>
      </c>
      <c r="G18" s="2" t="s">
        <v>127</v>
      </c>
      <c r="H18" s="34">
        <f>calcoli!K74</f>
        <v>1.411488931507444</v>
      </c>
      <c r="I18" s="5" t="s">
        <v>9</v>
      </c>
    </row>
    <row r="19" spans="7:9" ht="12.75">
      <c r="G19" s="2" t="s">
        <v>128</v>
      </c>
      <c r="H19" s="34">
        <f>calcoli!K75</f>
        <v>0.31351106849255617</v>
      </c>
      <c r="I19" s="5" t="s">
        <v>9</v>
      </c>
    </row>
    <row r="20" spans="7:9" ht="12.75">
      <c r="G20" s="135" t="str">
        <f>IF(H19&lt;=calcoli!D68,"dentro il nocciolo","fuori dal nocciolo")</f>
        <v>dentro il nocciolo</v>
      </c>
      <c r="H20" s="135"/>
      <c r="I20" s="135"/>
    </row>
    <row r="22" spans="1:7" ht="12.75">
      <c r="A22" t="s">
        <v>130</v>
      </c>
      <c r="E22" s="2" t="s">
        <v>131</v>
      </c>
      <c r="F22" s="2">
        <f>calcoli!K16</f>
        <v>0.5</v>
      </c>
      <c r="G22" s="5" t="s">
        <v>132</v>
      </c>
    </row>
    <row r="23" spans="5:7" ht="12.75">
      <c r="E23" s="2" t="s">
        <v>68</v>
      </c>
      <c r="F23" s="34">
        <f>calcoli!K55</f>
        <v>28156.75</v>
      </c>
      <c r="G23" s="5" t="s">
        <v>18</v>
      </c>
    </row>
    <row r="24" spans="5:7" ht="12.75">
      <c r="E24" s="2" t="s">
        <v>45</v>
      </c>
      <c r="F24" s="34">
        <f>calcoli!B83</f>
        <v>9775.000000000002</v>
      </c>
      <c r="G24" s="5" t="s">
        <v>18</v>
      </c>
    </row>
    <row r="26" spans="5:7" ht="12.75">
      <c r="E26" s="5" t="s">
        <v>125</v>
      </c>
      <c r="G26" s="34">
        <f>calcoli!I83</f>
        <v>1.4402429667519179</v>
      </c>
    </row>
    <row r="27" spans="5:7" ht="12.75">
      <c r="E27" s="7" t="s">
        <v>133</v>
      </c>
      <c r="F27" s="34">
        <f>calcoli!E85</f>
        <v>0</v>
      </c>
      <c r="G27" s="5" t="s">
        <v>10</v>
      </c>
    </row>
    <row r="29" spans="1:7" ht="15.75">
      <c r="A29" t="s">
        <v>134</v>
      </c>
      <c r="E29" s="2" t="s">
        <v>172</v>
      </c>
      <c r="F29" s="34">
        <f>calcoli!K99</f>
        <v>2.9610019001446677</v>
      </c>
      <c r="G29" s="5" t="s">
        <v>160</v>
      </c>
    </row>
    <row r="30" spans="5:7" ht="15.75">
      <c r="E30" s="7" t="s">
        <v>173</v>
      </c>
      <c r="F30" s="34">
        <f>calcoli!H104</f>
        <v>1.4000147378001822</v>
      </c>
      <c r="G30" s="5" t="s">
        <v>160</v>
      </c>
    </row>
    <row r="32" spans="5:7" ht="12.75">
      <c r="E32" s="5" t="s">
        <v>125</v>
      </c>
      <c r="G32" s="34">
        <f>calcoli!D111</f>
        <v>2.1149790928610055</v>
      </c>
    </row>
    <row r="34" spans="1:7" ht="12.75">
      <c r="A34" t="s">
        <v>139</v>
      </c>
      <c r="E34" s="2" t="s">
        <v>142</v>
      </c>
      <c r="F34" s="2">
        <f>calcoli!J138</f>
        <v>17906.589869281048</v>
      </c>
      <c r="G34" s="5" t="s">
        <v>34</v>
      </c>
    </row>
    <row r="35" spans="5:7" ht="12.75">
      <c r="E35" s="2" t="s">
        <v>143</v>
      </c>
      <c r="F35" s="34">
        <f>calcoli!J139</f>
        <v>8906.000000000002</v>
      </c>
      <c r="G35" s="5" t="s">
        <v>18</v>
      </c>
    </row>
    <row r="37" spans="1:7" ht="12.75">
      <c r="A37" t="s">
        <v>182</v>
      </c>
      <c r="E37" t="s">
        <v>183</v>
      </c>
      <c r="G37">
        <f>calcoli!H129</f>
        <v>250</v>
      </c>
    </row>
    <row r="38" spans="5:7" ht="12.75">
      <c r="E38" t="s">
        <v>184</v>
      </c>
      <c r="G38" t="str">
        <f>calcoli!L129</f>
        <v>FeB38k</v>
      </c>
    </row>
    <row r="40" spans="1:7" ht="14.25">
      <c r="A40" t="s">
        <v>146</v>
      </c>
      <c r="E40" s="2" t="s">
        <v>140</v>
      </c>
      <c r="F40" s="34">
        <f>calcoli!C148</f>
        <v>17.79871847151799</v>
      </c>
      <c r="G40" s="5" t="s">
        <v>161</v>
      </c>
    </row>
    <row r="41" spans="5:7" ht="14.25">
      <c r="E41" s="2" t="s">
        <v>141</v>
      </c>
      <c r="F41" s="34">
        <f>calcoli!C149</f>
        <v>7.1194873886071965</v>
      </c>
      <c r="G41" s="5" t="s">
        <v>161</v>
      </c>
    </row>
    <row r="43" spans="1:7" ht="12.75">
      <c r="A43" t="s">
        <v>147</v>
      </c>
      <c r="E43" s="2" t="s">
        <v>142</v>
      </c>
      <c r="F43" s="34">
        <f>calcoli!E174</f>
        <v>2019.1914062500007</v>
      </c>
      <c r="G43" s="5" t="s">
        <v>34</v>
      </c>
    </row>
    <row r="44" spans="5:7" ht="12.75">
      <c r="E44" s="2" t="s">
        <v>143</v>
      </c>
      <c r="F44" s="34">
        <f>calcoli!E175</f>
        <v>2212.8125000000005</v>
      </c>
      <c r="G44" s="5" t="s">
        <v>18</v>
      </c>
    </row>
    <row r="46" spans="1:7" ht="14.25">
      <c r="A46" t="s">
        <v>146</v>
      </c>
      <c r="E46" s="2" t="s">
        <v>140</v>
      </c>
      <c r="F46" s="34">
        <f>calcoli!J186</f>
        <v>3.9460619951740576</v>
      </c>
      <c r="G46" s="5" t="s">
        <v>161</v>
      </c>
    </row>
    <row r="47" spans="5:7" ht="14.25">
      <c r="E47" s="2" t="s">
        <v>141</v>
      </c>
      <c r="F47" s="34">
        <f>calcoli!J187</f>
        <v>0</v>
      </c>
      <c r="G47" s="5" t="s">
        <v>161</v>
      </c>
    </row>
    <row r="49" spans="1:7" ht="15.75">
      <c r="A49" t="s">
        <v>148</v>
      </c>
      <c r="E49" s="2" t="s">
        <v>174</v>
      </c>
      <c r="F49" s="34">
        <f>calcoli!C189</f>
        <v>3.5597436943035983</v>
      </c>
      <c r="G49" s="5" t="s">
        <v>163</v>
      </c>
    </row>
    <row r="51" spans="1:7" ht="15.75">
      <c r="A51" t="s">
        <v>149</v>
      </c>
      <c r="E51" s="7" t="s">
        <v>175</v>
      </c>
      <c r="F51" s="34">
        <f>calcoli!H131</f>
        <v>5.333333333333333</v>
      </c>
      <c r="G51" s="5" t="s">
        <v>160</v>
      </c>
    </row>
    <row r="52" spans="5:7" ht="15.75">
      <c r="E52" s="7" t="s">
        <v>176</v>
      </c>
      <c r="F52" s="34">
        <f>calcoli!D193</f>
        <v>1.9214670981661273</v>
      </c>
      <c r="G52" s="5" t="s">
        <v>160</v>
      </c>
    </row>
    <row r="53" spans="7:9" ht="12.75">
      <c r="G53" s="135" t="str">
        <f>IF(F52&lt;=F51,"verificato","non verificato")</f>
        <v>verificato</v>
      </c>
      <c r="H53" s="135"/>
      <c r="I53" s="135"/>
    </row>
    <row r="55" spans="1:7" ht="15.75">
      <c r="A55" t="s">
        <v>150</v>
      </c>
      <c r="E55" s="7" t="s">
        <v>177</v>
      </c>
      <c r="F55" s="34">
        <f>calcoli!B222</f>
        <v>1.4000147378001822</v>
      </c>
      <c r="G55" s="5" t="s">
        <v>160</v>
      </c>
    </row>
    <row r="56" spans="5:7" ht="15.75">
      <c r="E56" s="7" t="s">
        <v>178</v>
      </c>
      <c r="F56" s="34">
        <f>calcoli!K222</f>
        <v>0.1743963643674826</v>
      </c>
      <c r="G56" s="5" t="s">
        <v>160</v>
      </c>
    </row>
    <row r="57" spans="5:7" ht="14.25">
      <c r="E57" s="7" t="s">
        <v>151</v>
      </c>
      <c r="F57" s="34">
        <f>calcoli!K221</f>
        <v>1.0358817427948148</v>
      </c>
      <c r="G57" s="5" t="s">
        <v>160</v>
      </c>
    </row>
    <row r="58" spans="5:7" ht="12.75">
      <c r="E58" s="2"/>
      <c r="F58" s="1"/>
      <c r="G58" s="5"/>
    </row>
    <row r="59" spans="5:7" ht="12.75">
      <c r="E59" s="2"/>
      <c r="F59" s="16"/>
      <c r="G59" s="5"/>
    </row>
    <row r="61" spans="5:7" ht="12.75">
      <c r="E61" s="2"/>
      <c r="F61" s="16"/>
      <c r="G61" s="5"/>
    </row>
    <row r="62" spans="5:7" ht="12.75">
      <c r="E62" s="2"/>
      <c r="F62" s="16"/>
      <c r="G62" s="5"/>
    </row>
    <row r="70" spans="5:7" ht="12.75">
      <c r="E70" s="2"/>
      <c r="F70" s="16"/>
      <c r="G70" s="5"/>
    </row>
    <row r="72" spans="5:7" ht="12.75">
      <c r="E72" s="7"/>
      <c r="F72" s="16"/>
      <c r="G72" s="5"/>
    </row>
    <row r="73" spans="5:7" ht="12.75">
      <c r="E73" s="7"/>
      <c r="F73" s="16"/>
      <c r="G73" s="5"/>
    </row>
    <row r="74" spans="7:9" ht="12.75">
      <c r="G74" s="3"/>
      <c r="H74" s="3"/>
      <c r="I74" s="3"/>
    </row>
    <row r="76" spans="5:7" ht="12.75">
      <c r="E76" s="7"/>
      <c r="F76" s="16"/>
      <c r="G76" s="5"/>
    </row>
    <row r="77" spans="5:7" ht="12.75">
      <c r="E77" s="7"/>
      <c r="F77" s="16"/>
      <c r="G77" s="5"/>
    </row>
  </sheetData>
  <mergeCells count="3">
    <mergeCell ref="G17:I17"/>
    <mergeCell ref="G20:I20"/>
    <mergeCell ref="G53:I53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scale="96" r:id="rId1"/>
  <headerFooter alignWithMargins="0">
    <oddFooter>&amp;L&amp;D&amp;CPoli Giancarlo, cl. 5_B geom.
I.T.G. "Battisti", Salò -Bs-&amp;Rpag.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Muro di sostegno c.a.</dc:title>
  <dc:subject/>
  <dc:creator>Poli Giancarlo - Michelini M.A.</dc:creator>
  <cp:keywords/>
  <dc:description>corretto errore nella cellaK222 segnalato da Bonaspetti Ilaria</dc:description>
  <cp:lastModifiedBy>mary</cp:lastModifiedBy>
  <cp:lastPrinted>2002-08-13T09:43:49Z</cp:lastPrinted>
  <dcterms:created xsi:type="dcterms:W3CDTF">2002-01-15T14:59:26Z</dcterms:created>
  <dcterms:modified xsi:type="dcterms:W3CDTF">2004-02-02T13:36:43Z</dcterms:modified>
  <cp:category>modelli di calcolo - costruzioni</cp:category>
  <cp:version/>
  <cp:contentType/>
  <cp:contentStatus/>
</cp:coreProperties>
</file>