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65521" windowWidth="4770" windowHeight="4410" activeTab="0"/>
  </bookViews>
  <sheets>
    <sheet name="Calcolo ICI" sheetId="1" r:id="rId1"/>
    <sheet name="Stampa Esempi" sheetId="2" r:id="rId2"/>
    <sheet name="Tabelle" sheetId="3" r:id="rId3"/>
  </sheets>
  <definedNames>
    <definedName name="a_1_aliq">'Calcolo ICI'!$M$17</definedName>
    <definedName name="a_1_categ_alfa">'Calcolo ICI'!$N$29</definedName>
    <definedName name="a_1_categ_all">'Calcolo ICI'!$M$29</definedName>
    <definedName name="a_1_categ_num">'Calcolo ICI'!$O$29</definedName>
    <definedName name="a_1_detr_tot">'Calcolo ICI'!$M$27</definedName>
    <definedName name="a_1_flag">'Calcolo ICI'!$N$32</definedName>
    <definedName name="a_1_gg_a">'Calcolo ICI'!$M$31</definedName>
    <definedName name="a_1_gg_da">'Calcolo ICI'!$M$30</definedName>
    <definedName name="a_1_ici1sem">'Calcolo ICI'!$N$33</definedName>
    <definedName name="a_1_ici1semprima">'Calcolo ICI'!$P$33</definedName>
    <definedName name="a_1_ici2sem">'Calcolo ICI'!$O$33</definedName>
    <definedName name="a_1_ici2semprima">'Calcolo ICI'!$Q$33</definedName>
    <definedName name="a_1_icidetr">'Calcolo ICI'!$L$33</definedName>
    <definedName name="a_1_icimenodetr">'Calcolo ICI'!$M$33</definedName>
    <definedName name="a_1_imposta">'Calcolo ICI'!$O$32</definedName>
    <definedName name="a_1_mesi_a">'Calcolo ICI'!$O$31</definedName>
    <definedName name="a_1_mesi_da">'Calcolo ICI'!$O$30</definedName>
    <definedName name="a_1_mm_a">'Calcolo ICI'!$N$31</definedName>
    <definedName name="a_1_mm_da">'Calcolo ICI'!$N$30</definedName>
    <definedName name="a_1_moltipl">'Calcolo ICI'!$M$32</definedName>
    <definedName name="a_1_nr_propr">'Calcolo ICI'!$M$25</definedName>
    <definedName name="a_1_perc">'Calcolo ICI'!$M$23</definedName>
    <definedName name="a_1_rend">'Calcolo ICI'!$M$13</definedName>
    <definedName name="a_1_rend_riv">'Calcolo ICI'!$M$35</definedName>
    <definedName name="a_2_aliq">'Calcolo ICI'!$S$17</definedName>
    <definedName name="a_2_categ_alfa">'Calcolo ICI'!$T$29</definedName>
    <definedName name="a_2_categ_all">'Calcolo ICI'!$S$29</definedName>
    <definedName name="a_2_categ_num">'Calcolo ICI'!$U$29</definedName>
    <definedName name="a_2_flag">'Calcolo ICI'!$T$32</definedName>
    <definedName name="a_2_gg_a">'Calcolo ICI'!$S$31</definedName>
    <definedName name="a_2_gg_da">'Calcolo ICI'!$S$30</definedName>
    <definedName name="a_2_ici1sem">'Calcolo ICI'!$S$33</definedName>
    <definedName name="a_2_ici2sem">'Calcolo ICI'!$T$33</definedName>
    <definedName name="a_2_imposta">'Calcolo ICI'!$U$32</definedName>
    <definedName name="a_2_mesi_a">'Calcolo ICI'!$U$31</definedName>
    <definedName name="a_2_mesi_da">'Calcolo ICI'!$U$30</definedName>
    <definedName name="a_2_mm_a">'Calcolo ICI'!$T$31</definedName>
    <definedName name="a_2_mm_da">'Calcolo ICI'!$T$30</definedName>
    <definedName name="a_2_moltipl">'Calcolo ICI'!$S$32</definedName>
    <definedName name="a_2_nr_propr">'Calcolo ICI'!$S$25</definedName>
    <definedName name="a_2_perc">'Calcolo ICI'!$S$23</definedName>
    <definedName name="a_2_rend">'Calcolo ICI'!$S$13</definedName>
    <definedName name="a_2_rend_riv">'Calcolo ICI'!$S$35</definedName>
    <definedName name="a_3_aliq">'Calcolo ICI'!$Y$17</definedName>
    <definedName name="a_3_categ_alfa">'Calcolo ICI'!$Z$29</definedName>
    <definedName name="a_3_categ_all">'Calcolo ICI'!$Y$29</definedName>
    <definedName name="a_3_categ_num">'Calcolo ICI'!$AA$29</definedName>
    <definedName name="a_3_flag">'Calcolo ICI'!$Z$32</definedName>
    <definedName name="a_3_gg_a">'Calcolo ICI'!$Y$31</definedName>
    <definedName name="a_3_gg_da">'Calcolo ICI'!$Y$30</definedName>
    <definedName name="a_3_ici1sem">'Calcolo ICI'!$Y$33</definedName>
    <definedName name="a_3_ici2sem">'Calcolo ICI'!$Z$33</definedName>
    <definedName name="a_3_imposta">'Calcolo ICI'!$AA$32</definedName>
    <definedName name="a_3_mesi_a">'Calcolo ICI'!$AA$31</definedName>
    <definedName name="a_3_mesi_da">'Calcolo ICI'!$AA$30</definedName>
    <definedName name="a_3_mm_a">'Calcolo ICI'!$Z$31</definedName>
    <definedName name="a_3_mm_da">'Calcolo ICI'!$Z$30</definedName>
    <definedName name="a_3_moltipl">'Calcolo ICI'!$Y$32</definedName>
    <definedName name="a_3_nr_propr">'Calcolo ICI'!$Y$25</definedName>
    <definedName name="a_3_perc">'Calcolo ICI'!$Y$23</definedName>
    <definedName name="a_3_rend">'Calcolo ICI'!$Y$13</definedName>
    <definedName name="a_3_rend_riv">'Calcolo ICI'!$Y$35</definedName>
    <definedName name="a_4_aliq">'Calcolo ICI'!$AE$17</definedName>
    <definedName name="a_4_categ_alfa">'Calcolo ICI'!$AF$29</definedName>
    <definedName name="a_4_categ_all">'Calcolo ICI'!$AE$29</definedName>
    <definedName name="a_4_categ_num">'Calcolo ICI'!$AG$29</definedName>
    <definedName name="a_4_flag">'Calcolo ICI'!$AF$32</definedName>
    <definedName name="a_4_gg_a">'Calcolo ICI'!$AE$31</definedName>
    <definedName name="a_4_gg_da">'Calcolo ICI'!$AE$30</definedName>
    <definedName name="a_4_ici1sem">'Calcolo ICI'!$AE$33</definedName>
    <definedName name="a_4_ici2sem">'Calcolo ICI'!$AF$33</definedName>
    <definedName name="a_4_imposta">'Calcolo ICI'!$AG$32</definedName>
    <definedName name="a_4_mesi_a">'Calcolo ICI'!$AG$31</definedName>
    <definedName name="a_4_mesi_da">'Calcolo ICI'!$AG$30</definedName>
    <definedName name="a_4_mm_a">'Calcolo ICI'!$AF$31</definedName>
    <definedName name="a_4_mm_da">'Calcolo ICI'!$AF$30</definedName>
    <definedName name="a_4_moltipl">'Calcolo ICI'!$AE$32</definedName>
    <definedName name="a_4_nr_propr">'Calcolo ICI'!$AE$25</definedName>
    <definedName name="a_4_perc">'Calcolo ICI'!$AE$23</definedName>
    <definedName name="a_4_rend">'Calcolo ICI'!$AE$13</definedName>
    <definedName name="a_4_rend_riv">'Calcolo ICI'!$AE$35</definedName>
    <definedName name="a_5_aliq">'Calcolo ICI'!$AK$17</definedName>
    <definedName name="a_5_categ_alfa">'Calcolo ICI'!$AL$29</definedName>
    <definedName name="a_5_categ_all">'Calcolo ICI'!$AK$29</definedName>
    <definedName name="a_5_categ_num">'Calcolo ICI'!$AM$29</definedName>
    <definedName name="a_5_flag">'Calcolo ICI'!$AL$32</definedName>
    <definedName name="a_5_gg_a">'Calcolo ICI'!$AK$31</definedName>
    <definedName name="a_5_gg_da">'Calcolo ICI'!$AK$30</definedName>
    <definedName name="a_5_ici1sem">'Calcolo ICI'!$AK$33</definedName>
    <definedName name="a_5_ici2sem">'Calcolo ICI'!$AL$33</definedName>
    <definedName name="a_5_imposta">'Calcolo ICI'!$AM$32</definedName>
    <definedName name="a_5_mesi_a">'Calcolo ICI'!$AM$31</definedName>
    <definedName name="a_5_mesi_da">'Calcolo ICI'!$AM$30</definedName>
    <definedName name="a_5_mm_a">'Calcolo ICI'!$AL$31</definedName>
    <definedName name="a_5_mm_da">'Calcolo ICI'!$AL$30</definedName>
    <definedName name="a_5_moltipl">'Calcolo ICI'!$AK$32</definedName>
    <definedName name="a_5_nr_propr">'Calcolo ICI'!$AK$25</definedName>
    <definedName name="a_5_perc">'Calcolo ICI'!$AK$23</definedName>
    <definedName name="a_5_rend">'Calcolo ICI'!$AK$13</definedName>
    <definedName name="a_5_rend_riv">'Calcolo ICI'!$AK$35</definedName>
    <definedName name="a_9_acconto">'Calcolo ICI'!$AE$39</definedName>
    <definedName name="a_9_detr1sem">'Calcolo ICI'!$AQ$33</definedName>
    <definedName name="a_9_detr1semok">'Calcolo ICI'!$AS$33</definedName>
    <definedName name="a_9_detr2sem">'Calcolo ICI'!$AR$33</definedName>
    <definedName name="a_9_detr2semok">'Calcolo ICI'!$AT$33</definedName>
    <definedName name="a_9_ici_davers">'Calcolo ICI'!$Y$39</definedName>
    <definedName name="a_9_ici_tot">'Calcolo ICI'!$S$39</definedName>
    <definedName name="a_9_nr_fabbr">'Calcolo ICI'!$N$39</definedName>
    <definedName name="a_9_saldo">'Calcolo ICI'!$AK$39</definedName>
    <definedName name="a_9_tot_rend">'Calcolo ICI'!$AR$13</definedName>
    <definedName name="a_9_tot_rendriv">'Calcolo ICI'!$AR$35</definedName>
    <definedName name="Anno">'Calcolo ICI'!$Y$1</definedName>
    <definedName name="_xlnm.Print_Area" localSheetId="0">'Calcolo ICI'!$A$1:$AY$39</definedName>
    <definedName name="Cap">'Calcolo ICI'!$Y$7</definedName>
    <definedName name="Cap_Immobili">'Calcolo ICI'!$Y$9</definedName>
    <definedName name="Codice_Fiscale">'Calcolo ICI'!$Y$4</definedName>
    <definedName name="Cognome">'Calcolo ICI'!$Y$2</definedName>
    <definedName name="Comune">'Calcolo ICI'!$Y$6</definedName>
    <definedName name="Comune_Immobili">'Calcolo ICI'!$Y$8</definedName>
    <definedName name="Indirizzo">'Calcolo ICI'!$Y$5</definedName>
    <definedName name="Nome">'Calcolo ICI'!$Y$3</definedName>
    <definedName name="Tab_CatCatast">'Tabelle'!$A$9:$B$56</definedName>
    <definedName name="Tab_Giorni">'Tabelle'!$A$60:$A$91</definedName>
    <definedName name="Tab_Mesi">'Tabelle'!$A$95:$B$107</definedName>
  </definedNames>
  <calcPr fullCalcOnLoad="1"/>
</workbook>
</file>

<file path=xl/sharedStrings.xml><?xml version="1.0" encoding="utf-8"?>
<sst xmlns="http://schemas.openxmlformats.org/spreadsheetml/2006/main" count="315" uniqueCount="206">
  <si>
    <t>Nome:</t>
  </si>
  <si>
    <r>
      <t xml:space="preserve">CALCOLO </t>
    </r>
    <r>
      <rPr>
        <b/>
        <i/>
        <u val="single"/>
        <sz val="16"/>
        <color indexed="10"/>
        <rFont val="Arial"/>
        <family val="2"/>
      </rPr>
      <t>I.C.I.</t>
    </r>
  </si>
  <si>
    <t>Anno:</t>
  </si>
  <si>
    <t>Immobile
numero 2</t>
  </si>
  <si>
    <t>Immobile
numero 3</t>
  </si>
  <si>
    <t>Immobile
numero 4</t>
  </si>
  <si>
    <t>Immobile
numero 5</t>
  </si>
  <si>
    <t>Rendita Catastale non rivalutata</t>
  </si>
  <si>
    <t>Aliquota ICI</t>
  </si>
  <si>
    <t>Percentuale di possesso</t>
  </si>
  <si>
    <t>%</t>
  </si>
  <si>
    <t>ATTENZIONE: 
riga contenente funzioni.
Non cancellare !!!!!!</t>
  </si>
  <si>
    <t>Numero possessori</t>
  </si>
  <si>
    <t>Acconto</t>
  </si>
  <si>
    <t>Detrazione abitazione principale</t>
  </si>
  <si>
    <t>Saldo</t>
  </si>
  <si>
    <t>CONTI CORRENTI POSTALI</t>
  </si>
  <si>
    <t>Ricevuta di un versamento di L.</t>
  </si>
  <si>
    <t>.000</t>
  </si>
  <si>
    <t>Certificato di un accreditamento di L.</t>
  </si>
  <si>
    <t>Lire</t>
  </si>
  <si>
    <t>Codice fiscale</t>
  </si>
  <si>
    <t>CODICE FISCALE DEL CONTRIBUENTE</t>
  </si>
  <si>
    <t>del contribuente</t>
  </si>
  <si>
    <t>Numero</t>
  </si>
  <si>
    <t>Anno</t>
  </si>
  <si>
    <t>Versamento</t>
  </si>
  <si>
    <t>dei fabbricati</t>
  </si>
  <si>
    <t>d'imposta</t>
  </si>
  <si>
    <t>in acconto</t>
  </si>
  <si>
    <t>X</t>
  </si>
  <si>
    <t>a saldo</t>
  </si>
  <si>
    <t xml:space="preserve"> </t>
  </si>
  <si>
    <t>IMPORTI RIFERITI A:</t>
  </si>
  <si>
    <t>TERRENI
AGRICOLI</t>
  </si>
  <si>
    <t>Terreni agricoli</t>
  </si>
  <si>
    <t>L.</t>
  </si>
  <si>
    <t>NUMERO
FABBRICATI</t>
  </si>
  <si>
    <t>ANNO DI
IMPOSTA</t>
  </si>
  <si>
    <t xml:space="preserve">ACCONTO
</t>
  </si>
  <si>
    <t xml:space="preserve">SALDO
</t>
  </si>
  <si>
    <t>AREE
FABBRICABILI</t>
  </si>
  <si>
    <t>Aree fabbricabili</t>
  </si>
  <si>
    <t>Abitazione principale</t>
  </si>
  <si>
    <t>ABITAZIONE
PRINCIPALE</t>
  </si>
  <si>
    <t>Altri fabbricati</t>
  </si>
  <si>
    <t>Detrazione</t>
  </si>
  <si>
    <t>ALTRI
FABBRICATI</t>
  </si>
  <si>
    <t>per l'abitazione principale</t>
  </si>
  <si>
    <t>DETRAZIONE PER
L'ABITAZIONE
PRINCIPALE</t>
  </si>
  <si>
    <t>Categorie catastali</t>
  </si>
  <si>
    <t xml:space="preserve">A/1 </t>
  </si>
  <si>
    <t>Abitazioni di tipo signorile</t>
  </si>
  <si>
    <t xml:space="preserve">A/2 </t>
  </si>
  <si>
    <t>Abitazioni di tipo civile</t>
  </si>
  <si>
    <t xml:space="preserve">A/3 </t>
  </si>
  <si>
    <t>Abitazioni di tipo economico</t>
  </si>
  <si>
    <t xml:space="preserve">A/4 </t>
  </si>
  <si>
    <t>Abitazioni di tipo popolare</t>
  </si>
  <si>
    <t xml:space="preserve">A/5 </t>
  </si>
  <si>
    <t>Abitazioni di tipo ultrapopolare</t>
  </si>
  <si>
    <t xml:space="preserve">A/6 </t>
  </si>
  <si>
    <t>Abitazioni di tipo rurale</t>
  </si>
  <si>
    <t xml:space="preserve">A/7 </t>
  </si>
  <si>
    <t>Abitazioni in villini</t>
  </si>
  <si>
    <t xml:space="preserve">A/8 </t>
  </si>
  <si>
    <t>Abitazioni in ville</t>
  </si>
  <si>
    <t xml:space="preserve">A/9 </t>
  </si>
  <si>
    <t>Castelli, palazzi di eminenti pregi artistici o storici</t>
  </si>
  <si>
    <t>A/10</t>
  </si>
  <si>
    <t>Uffici e studi privati</t>
  </si>
  <si>
    <t>A/11</t>
  </si>
  <si>
    <t>Abitazioni</t>
  </si>
  <si>
    <t xml:space="preserve">B/1 </t>
  </si>
  <si>
    <t>Collegi e convitti, educandati, ricoveri, orfanotrofi, ospizi, conventi, seminari, caserme</t>
  </si>
  <si>
    <t xml:space="preserve">B/2 </t>
  </si>
  <si>
    <t>Case di cura ed ospedali</t>
  </si>
  <si>
    <t xml:space="preserve">B/3 </t>
  </si>
  <si>
    <t>Prigioni e riformatori</t>
  </si>
  <si>
    <t xml:space="preserve">B/4 </t>
  </si>
  <si>
    <t>Uffici pubblici</t>
  </si>
  <si>
    <t xml:space="preserve">B/5 </t>
  </si>
  <si>
    <t>Scuole, laboratori scientifici</t>
  </si>
  <si>
    <t xml:space="preserve">B/6 </t>
  </si>
  <si>
    <t>Biblioteche, pinacoteche, musei, gallerie, accademie che non hanno sede in edifici della categoria</t>
  </si>
  <si>
    <t xml:space="preserve">B/7 </t>
  </si>
  <si>
    <t>Cappelle ed oratori non destinati all'esercizio pubblico del culto</t>
  </si>
  <si>
    <t xml:space="preserve">B/8 </t>
  </si>
  <si>
    <t>Magazzini sotterranei per depositi di derrate</t>
  </si>
  <si>
    <t xml:space="preserve">C/1 </t>
  </si>
  <si>
    <t>Negozi e botteghe</t>
  </si>
  <si>
    <t xml:space="preserve">C/2 </t>
  </si>
  <si>
    <t xml:space="preserve">Magazzini e locali di deposito </t>
  </si>
  <si>
    <t xml:space="preserve">C/3 </t>
  </si>
  <si>
    <t xml:space="preserve">Laboratori e locali di deposito </t>
  </si>
  <si>
    <t xml:space="preserve">C/4 </t>
  </si>
  <si>
    <t xml:space="preserve">Fabbricati per arti e mestieri </t>
  </si>
  <si>
    <t xml:space="preserve">C/5 </t>
  </si>
  <si>
    <t xml:space="preserve">Stabilimenti balneari e di acque curative </t>
  </si>
  <si>
    <t xml:space="preserve">C/6 </t>
  </si>
  <si>
    <t xml:space="preserve">Stalle, scuderie, rimesse, autorimesse </t>
  </si>
  <si>
    <t xml:space="preserve">C/7 </t>
  </si>
  <si>
    <t xml:space="preserve">Tettoie chiuse o aperte </t>
  </si>
  <si>
    <t xml:space="preserve">D/1 </t>
  </si>
  <si>
    <t xml:space="preserve">Opifici </t>
  </si>
  <si>
    <t xml:space="preserve">D/2 </t>
  </si>
  <si>
    <t>Alberghi e pensioni</t>
  </si>
  <si>
    <t xml:space="preserve">D/3 </t>
  </si>
  <si>
    <t>Teatri, cinematografi, sale per concerti e spettacoli e simili</t>
  </si>
  <si>
    <t xml:space="preserve">D/4 </t>
  </si>
  <si>
    <t xml:space="preserve">Case di cura ed ospedali </t>
  </si>
  <si>
    <t xml:space="preserve">D/5 </t>
  </si>
  <si>
    <t xml:space="preserve">Istituti di crediti, cambio e assicurazione </t>
  </si>
  <si>
    <t xml:space="preserve">D/6 </t>
  </si>
  <si>
    <t xml:space="preserve">Fabbricati e locali per esercizi sportivi </t>
  </si>
  <si>
    <t xml:space="preserve">D/7 </t>
  </si>
  <si>
    <t xml:space="preserve">Fabbricati costruiti o adattati per le speciali esigenze di un'attività industriale e non suscettibili di destinazione diversa senza radicali trasformazioni </t>
  </si>
  <si>
    <t xml:space="preserve">D/8 </t>
  </si>
  <si>
    <t xml:space="preserve">Fabbricati costruiti o adattati per le speciali esigenze di un'attività commerciale e non suscettibili di destinazione diversa senza radicali trasformazioni </t>
  </si>
  <si>
    <t xml:space="preserve">D/9 </t>
  </si>
  <si>
    <t>Edifici galleggianti o sospesi assicurati a punti fissi del suolo, ponti privati soggetti a pedaggio</t>
  </si>
  <si>
    <t xml:space="preserve">D/10 </t>
  </si>
  <si>
    <t xml:space="preserve">Residence </t>
  </si>
  <si>
    <t xml:space="preserve">D/11 </t>
  </si>
  <si>
    <t xml:space="preserve">Scuole e laboratori scientifici privati </t>
  </si>
  <si>
    <t xml:space="preserve">D/12 </t>
  </si>
  <si>
    <t xml:space="preserve">Posti barca in luoghi turistici, stabilimenti balneari </t>
  </si>
  <si>
    <t xml:space="preserve">E/1 </t>
  </si>
  <si>
    <t>Stazioni per servizi di trasporto, terrestri, marittimi ed aerei</t>
  </si>
  <si>
    <t xml:space="preserve">E/2 </t>
  </si>
  <si>
    <t xml:space="preserve">Ponti provinciali e comunali soggetti a pedaggio </t>
  </si>
  <si>
    <t xml:space="preserve">E/3 </t>
  </si>
  <si>
    <t>Costruzioni e fabbricati per speciali esigenze pubbliche (edicole per giornali o simili, chioschi per bar, per rifornimenti di auto, per sale di aspetto di tramvie ecc., pese pubbliche, ecc.)</t>
  </si>
  <si>
    <t xml:space="preserve">E/4 </t>
  </si>
  <si>
    <t>Recinti chiusi per speciali esigenze pubbliche (per mercati, per posteggio bestiame, ecc.)</t>
  </si>
  <si>
    <t xml:space="preserve">E/5 </t>
  </si>
  <si>
    <t>Fabbricati costituenti fortificazioni e loro dipendenze</t>
  </si>
  <si>
    <t xml:space="preserve">E/6 </t>
  </si>
  <si>
    <t>Fari, semafori, torri per rendere d'uso pubblico l'orologio comunale</t>
  </si>
  <si>
    <t xml:space="preserve">E/7 </t>
  </si>
  <si>
    <t>Fabbricati destinati all'esercizio pubblico dei culti</t>
  </si>
  <si>
    <t xml:space="preserve">E/8 </t>
  </si>
  <si>
    <t xml:space="preserve">Fabbricati e costruzioni nei cimiteri, esclusi i colombari, i sepolcri e le tombe di famiglia </t>
  </si>
  <si>
    <t xml:space="preserve">E/9 </t>
  </si>
  <si>
    <t xml:space="preserve">Edifici a destinazione particolare non compresi nelle categorie precedenti del gruppo E </t>
  </si>
  <si>
    <t>Gruppo A (uso abitativo)</t>
  </si>
  <si>
    <t xml:space="preserve">Gruppo B (uso collettivo) </t>
  </si>
  <si>
    <t>Gruppo C (uso commerciale)</t>
  </si>
  <si>
    <t>Gruppo D</t>
  </si>
  <si>
    <t>Gruppo E</t>
  </si>
  <si>
    <t/>
  </si>
  <si>
    <t>Categoria Catastale</t>
  </si>
  <si>
    <t>Cognome:</t>
  </si>
  <si>
    <t>CAP:</t>
  </si>
  <si>
    <t>Codice Fiscale:</t>
  </si>
  <si>
    <t>Comune di ubicazione degli immobili:</t>
  </si>
  <si>
    <t>Stampa Esempi bollettini di Conto Corrente Postale</t>
  </si>
  <si>
    <t xml:space="preserve">Anno: </t>
  </si>
  <si>
    <t>Eseguito da</t>
  </si>
  <si>
    <t>C.A.P.</t>
  </si>
  <si>
    <t>Comune ubicazione immobili</t>
  </si>
  <si>
    <t>eseguito da</t>
  </si>
  <si>
    <t>COMUNE DI UBICAZIONE DEGLI IMMOBILI</t>
  </si>
  <si>
    <t>cognome e nome                                        comune dom. fiscale            via e numero civico</t>
  </si>
  <si>
    <t>Giorni</t>
  </si>
  <si>
    <t>Mesi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</si>
  <si>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</si>
  <si>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</si>
  <si>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</si>
  <si>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</si>
  <si>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</si>
  <si>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</si>
  <si>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</si>
  <si>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</si>
  <si>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</si>
  <si>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</si>
  <si>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Aprile</t>
  </si>
  <si>
    <t>Dicembre</t>
  </si>
  <si>
    <t>DAL:</t>
  </si>
  <si>
    <t>AL:</t>
  </si>
  <si>
    <t>Periodo di possesso</t>
  </si>
  <si>
    <t>Rendita Catastale rivalutata</t>
  </si>
  <si>
    <t>ICI Totale</t>
  </si>
  <si>
    <t>ICI da versare</t>
  </si>
  <si>
    <t>durante l'anno</t>
  </si>
  <si>
    <t>Nr. fabbricati</t>
  </si>
  <si>
    <t>Totale rendita
non rivalutata</t>
  </si>
  <si>
    <t>Totale rendita
rivalutata</t>
  </si>
  <si>
    <t>Indirizzo (Via/Piazza, nr. civico) di residenza:</t>
  </si>
  <si>
    <t>Comune di residenza:</t>
  </si>
  <si>
    <t>categoria</t>
  </si>
  <si>
    <t>data da</t>
  </si>
  <si>
    <t>data a</t>
  </si>
  <si>
    <t>calcolo imposta</t>
  </si>
  <si>
    <t>Abitazione
principale</t>
  </si>
  <si>
    <t>CALCOLO I.C.I. - v.2.0</t>
  </si>
  <si>
    <t>1</t>
  </si>
  <si>
    <t>31</t>
  </si>
  <si>
    <t>12</t>
  </si>
  <si>
    <t>Marcellina</t>
  </si>
  <si>
    <t>00010</t>
  </si>
  <si>
    <t>su  c/c 87912002</t>
  </si>
  <si>
    <t xml:space="preserve">Com. Marcellina Serv.Tesoreria </t>
  </si>
  <si>
    <t>Via Giuseppe Verdi Snc</t>
  </si>
  <si>
    <t>aggiornato a euro (1936,27 £)</t>
  </si>
  <si>
    <t>TCCAGL79B17L182U</t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</si>
</sst>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\ mmmm\ yyyy\ \ h:mm"/>
    <numFmt numFmtId="171" formatCode="###,###,###"/>
    <numFmt numFmtId="172" formatCode="##,###"/>
    <numFmt numFmtId="173" formatCode="&quot;L.&quot;\ #,##0"/>
    <numFmt numFmtId="174" formatCode="mmm/yy"/>
    <numFmt numFmtId="175" formatCode="mmm"/>
    <numFmt numFmtId="176" formatCode="mmmm"/>
    <numFmt numFmtId="177" formatCode="mmmm\-yy"/>
    <numFmt numFmtId="178" formatCode="mmmmm\-yy"/>
    <numFmt numFmtId="179" formatCode="dd"/>
    <numFmt numFmtId="180" formatCode="[$ZWD]\ #,##0"/>
    <numFmt numFmtId="181" formatCode="\€"/>
    <numFmt numFmtId="182" formatCode="d/m/yy"/>
    <numFmt numFmtId="183" formatCode="d\ mmmm\ yyyy"/>
    <numFmt numFmtId="184" formatCode="d\-mmm\-yy"/>
    <numFmt numFmtId="185" formatCode="[h]:mm"/>
    <numFmt numFmtId="186" formatCode="[h]"/>
    <numFmt numFmtId="187" formatCode="d/m"/>
    <numFmt numFmtId="188" formatCode="h"/>
    <numFmt numFmtId="189" formatCode="#,##0.0"/>
  </numFmts>
  <fonts count="2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sz val="4"/>
      <color indexed="10"/>
      <name val="Arial"/>
      <family val="2"/>
    </font>
    <font>
      <b/>
      <sz val="10"/>
      <color indexed="17"/>
      <name val="Arial"/>
      <family val="2"/>
    </font>
    <font>
      <b/>
      <sz val="7"/>
      <color indexed="62"/>
      <name val="Arial"/>
      <family val="2"/>
    </font>
    <font>
      <b/>
      <i/>
      <sz val="10"/>
      <color indexed="12"/>
      <name val="Arial"/>
      <family val="2"/>
    </font>
    <font>
      <b/>
      <sz val="10"/>
      <color indexed="18"/>
      <name val="Arial"/>
      <family val="2"/>
    </font>
    <font>
      <i/>
      <sz val="14"/>
      <color indexed="10"/>
      <name val="Lucida Sans"/>
      <family val="2"/>
    </font>
    <font>
      <i/>
      <sz val="14"/>
      <color indexed="9"/>
      <name val="Lucida Sans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Up">
        <bgColor indexed="41"/>
      </patternFill>
    </fill>
    <fill>
      <patternFill patternType="darkDown"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thick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thin">
        <color indexed="10"/>
      </top>
      <bottom style="thin">
        <color indexed="10"/>
      </bottom>
    </border>
    <border>
      <left style="double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dotted">
        <color indexed="10"/>
      </top>
      <bottom style="dotted">
        <color indexed="10"/>
      </bottom>
    </border>
  </borders>
  <cellStyleXfs count="20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/>
    </xf>
    <xf numFmtId="0" fontId="6" fillId="2" borderId="0" xfId="0" applyFont="1" applyFill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 textRotation="90"/>
    </xf>
    <xf numFmtId="3" fontId="9" fillId="2" borderId="0" xfId="0" applyNumberFormat="1" applyFont="1" applyFill="1" applyAlignment="1">
      <alignment horizontal="center" textRotation="90"/>
    </xf>
    <xf numFmtId="0" fontId="7" fillId="2" borderId="0" xfId="0" applyFont="1" applyFill="1" applyAlignment="1">
      <alignment/>
    </xf>
    <xf numFmtId="1" fontId="1" fillId="3" borderId="3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 textRotation="90"/>
    </xf>
    <xf numFmtId="3" fontId="12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3" fontId="12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3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0" fillId="2" borderId="8" xfId="0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49" fontId="7" fillId="2" borderId="0" xfId="0" applyNumberFormat="1" applyFont="1" applyFill="1" applyBorder="1" applyAlignment="1">
      <alignment horizontal="left"/>
    </xf>
    <xf numFmtId="0" fontId="7" fillId="2" borderId="9" xfId="0" applyNumberFormat="1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17" fillId="2" borderId="8" xfId="0" applyFont="1" applyFill="1" applyBorder="1" applyAlignment="1">
      <alignment/>
    </xf>
    <xf numFmtId="0" fontId="17" fillId="2" borderId="0" xfId="0" applyFont="1" applyFill="1" applyAlignment="1">
      <alignment/>
    </xf>
    <xf numFmtId="0" fontId="19" fillId="2" borderId="12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20" fillId="2" borderId="16" xfId="0" applyFont="1" applyFill="1" applyBorder="1" applyAlignment="1">
      <alignment horizontal="center" wrapText="1"/>
    </xf>
    <xf numFmtId="0" fontId="0" fillId="2" borderId="17" xfId="0" applyFill="1" applyBorder="1" applyAlignment="1">
      <alignment/>
    </xf>
    <xf numFmtId="0" fontId="18" fillId="2" borderId="8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0" fontId="7" fillId="2" borderId="12" xfId="0" applyFont="1" applyFill="1" applyBorder="1" applyAlignment="1">
      <alignment horizontal="center" vertical="top"/>
    </xf>
    <xf numFmtId="0" fontId="1" fillId="4" borderId="20" xfId="0" applyFont="1" applyFill="1" applyBorder="1" applyAlignment="1">
      <alignment/>
    </xf>
    <xf numFmtId="0" fontId="0" fillId="4" borderId="21" xfId="0" applyFill="1" applyBorder="1" applyAlignment="1">
      <alignment/>
    </xf>
    <xf numFmtId="1" fontId="8" fillId="2" borderId="0" xfId="0" applyNumberFormat="1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wrapText="1"/>
    </xf>
    <xf numFmtId="49" fontId="0" fillId="2" borderId="21" xfId="0" applyNumberForma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" fontId="7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/>
    </xf>
    <xf numFmtId="49" fontId="16" fillId="2" borderId="0" xfId="0" applyNumberFormat="1" applyFont="1" applyFill="1" applyBorder="1" applyAlignment="1">
      <alignment horizontal="left"/>
    </xf>
    <xf numFmtId="0" fontId="0" fillId="2" borderId="22" xfId="0" applyFill="1" applyBorder="1" applyAlignment="1">
      <alignment/>
    </xf>
    <xf numFmtId="0" fontId="13" fillId="2" borderId="0" xfId="0" applyFont="1" applyFill="1" applyAlignment="1">
      <alignment vertical="top"/>
    </xf>
    <xf numFmtId="0" fontId="7" fillId="2" borderId="23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Alignment="1">
      <alignment horizontal="center" textRotation="90"/>
    </xf>
    <xf numFmtId="3" fontId="1" fillId="2" borderId="26" xfId="0" applyNumberFormat="1" applyFont="1" applyFill="1" applyBorder="1" applyAlignment="1">
      <alignment horizontal="right"/>
    </xf>
    <xf numFmtId="0" fontId="0" fillId="2" borderId="26" xfId="0" applyFill="1" applyBorder="1" applyAlignment="1">
      <alignment/>
    </xf>
    <xf numFmtId="0" fontId="6" fillId="2" borderId="0" xfId="0" applyFont="1" applyFill="1" applyAlignment="1">
      <alignment horizontal="right"/>
    </xf>
    <xf numFmtId="1" fontId="7" fillId="2" borderId="0" xfId="0" applyNumberFormat="1" applyFont="1" applyFill="1" applyAlignment="1">
      <alignment horizontal="right"/>
    </xf>
    <xf numFmtId="0" fontId="21" fillId="2" borderId="0" xfId="0" applyFont="1" applyFill="1" applyBorder="1" applyAlignment="1">
      <alignment horizontal="left"/>
    </xf>
    <xf numFmtId="49" fontId="21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1" fontId="22" fillId="2" borderId="0" xfId="0" applyNumberFormat="1" applyFont="1" applyFill="1" applyBorder="1" applyAlignment="1">
      <alignment horizontal="left"/>
    </xf>
    <xf numFmtId="0" fontId="0" fillId="2" borderId="0" xfId="0" applyFont="1" applyFill="1" applyAlignment="1">
      <alignment/>
    </xf>
    <xf numFmtId="3" fontId="10" fillId="2" borderId="0" xfId="0" applyNumberFormat="1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1" fontId="1" fillId="2" borderId="26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3" fontId="0" fillId="2" borderId="1" xfId="0" applyNumberFormat="1" applyFill="1" applyBorder="1" applyAlignment="1">
      <alignment/>
    </xf>
    <xf numFmtId="3" fontId="1" fillId="2" borderId="1" xfId="0" applyNumberFormat="1" applyFont="1" applyFill="1" applyBorder="1" applyAlignment="1">
      <alignment horizontal="center" textRotation="90"/>
    </xf>
    <xf numFmtId="3" fontId="9" fillId="2" borderId="1" xfId="0" applyNumberFormat="1" applyFont="1" applyFill="1" applyBorder="1" applyAlignment="1">
      <alignment horizontal="center" textRotation="90"/>
    </xf>
    <xf numFmtId="3" fontId="0" fillId="2" borderId="26" xfId="0" applyNumberFormat="1" applyFill="1" applyBorder="1" applyAlignment="1">
      <alignment/>
    </xf>
    <xf numFmtId="3" fontId="1" fillId="2" borderId="26" xfId="0" applyNumberFormat="1" applyFont="1" applyFill="1" applyBorder="1" applyAlignment="1">
      <alignment horizontal="center" textRotation="90"/>
    </xf>
    <xf numFmtId="3" fontId="9" fillId="2" borderId="26" xfId="0" applyNumberFormat="1" applyFont="1" applyFill="1" applyBorder="1" applyAlignment="1">
      <alignment horizontal="center" textRotation="90"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2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1" xfId="0" applyFill="1" applyBorder="1" applyAlignment="1">
      <alignment/>
    </xf>
    <xf numFmtId="3" fontId="12" fillId="6" borderId="26" xfId="0" applyNumberFormat="1" applyFont="1" applyFill="1" applyBorder="1" applyAlignment="1">
      <alignment horizontal="right"/>
    </xf>
    <xf numFmtId="0" fontId="6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26" xfId="0" applyFill="1" applyBorder="1" applyAlignment="1">
      <alignment/>
    </xf>
    <xf numFmtId="0" fontId="0" fillId="6" borderId="2" xfId="0" applyFill="1" applyBorder="1" applyAlignment="1">
      <alignment/>
    </xf>
    <xf numFmtId="3" fontId="1" fillId="2" borderId="28" xfId="0" applyNumberFormat="1" applyFont="1" applyFill="1" applyBorder="1" applyAlignment="1">
      <alignment horizontal="right"/>
    </xf>
    <xf numFmtId="0" fontId="0" fillId="2" borderId="28" xfId="0" applyFill="1" applyBorder="1" applyAlignment="1">
      <alignment/>
    </xf>
    <xf numFmtId="1" fontId="7" fillId="2" borderId="28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/>
    </xf>
    <xf numFmtId="3" fontId="1" fillId="2" borderId="29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6" fillId="2" borderId="26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 vertical="top" textRotation="90"/>
    </xf>
    <xf numFmtId="0" fontId="9" fillId="2" borderId="3" xfId="0" applyNumberFormat="1" applyFont="1" applyFill="1" applyBorder="1" applyAlignment="1">
      <alignment horizontal="center" vertical="top" textRotation="90"/>
    </xf>
    <xf numFmtId="1" fontId="9" fillId="2" borderId="3" xfId="0" applyNumberFormat="1" applyFont="1" applyFill="1" applyBorder="1" applyAlignment="1">
      <alignment horizontal="center" vertical="top" textRotation="90"/>
    </xf>
    <xf numFmtId="3" fontId="18" fillId="2" borderId="0" xfId="0" applyNumberFormat="1" applyFont="1" applyFill="1" applyAlignment="1">
      <alignment horizontal="center" vertical="center" textRotation="90"/>
    </xf>
    <xf numFmtId="3" fontId="9" fillId="2" borderId="31" xfId="0" applyNumberFormat="1" applyFont="1" applyFill="1" applyBorder="1" applyAlignment="1">
      <alignment horizontal="center" textRotation="90"/>
    </xf>
    <xf numFmtId="3" fontId="1" fillId="2" borderId="28" xfId="0" applyNumberFormat="1" applyFont="1" applyFill="1" applyBorder="1" applyAlignment="1">
      <alignment horizontal="center" textRotation="90"/>
    </xf>
    <xf numFmtId="3" fontId="0" fillId="2" borderId="0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32" xfId="0" applyNumberFormat="1" applyFont="1" applyFill="1" applyBorder="1" applyAlignment="1">
      <alignment/>
    </xf>
    <xf numFmtId="1" fontId="9" fillId="2" borderId="0" xfId="0" applyNumberFormat="1" applyFont="1" applyFill="1" applyBorder="1" applyAlignment="1">
      <alignment horizontal="center" textRotation="90"/>
    </xf>
    <xf numFmtId="1" fontId="9" fillId="2" borderId="32" xfId="0" applyNumberFormat="1" applyFont="1" applyFill="1" applyBorder="1" applyAlignment="1">
      <alignment horizontal="center" textRotation="90"/>
    </xf>
    <xf numFmtId="3" fontId="9" fillId="2" borderId="32" xfId="0" applyNumberFormat="1" applyFont="1" applyFill="1" applyBorder="1" applyAlignment="1">
      <alignment horizontal="center" textRotation="90"/>
    </xf>
    <xf numFmtId="3" fontId="9" fillId="2" borderId="26" xfId="0" applyNumberFormat="1" applyFont="1" applyFill="1" applyBorder="1" applyAlignment="1">
      <alignment horizontal="center" vertical="top" textRotation="90"/>
    </xf>
    <xf numFmtId="3" fontId="9" fillId="2" borderId="0" xfId="0" applyNumberFormat="1" applyFont="1" applyFill="1" applyBorder="1" applyAlignment="1">
      <alignment horizontal="center" vertical="top" textRotation="90"/>
    </xf>
    <xf numFmtId="3" fontId="9" fillId="2" borderId="33" xfId="0" applyNumberFormat="1" applyFont="1" applyFill="1" applyBorder="1" applyAlignment="1">
      <alignment horizontal="center" vertical="top" textRotation="90"/>
    </xf>
    <xf numFmtId="3" fontId="9" fillId="2" borderId="34" xfId="0" applyNumberFormat="1" applyFont="1" applyFill="1" applyBorder="1" applyAlignment="1">
      <alignment horizontal="center" vertical="top" textRotation="90"/>
    </xf>
    <xf numFmtId="3" fontId="9" fillId="2" borderId="2" xfId="0" applyNumberFormat="1" applyFont="1" applyFill="1" applyBorder="1" applyAlignment="1">
      <alignment horizontal="center" vertical="top" textRotation="90"/>
    </xf>
    <xf numFmtId="0" fontId="0" fillId="2" borderId="35" xfId="0" applyFill="1" applyBorder="1" applyAlignment="1">
      <alignment/>
    </xf>
    <xf numFmtId="0" fontId="1" fillId="2" borderId="0" xfId="0" applyFont="1" applyFill="1" applyBorder="1" applyAlignment="1">
      <alignment horizontal="left" wrapText="1"/>
    </xf>
    <xf numFmtId="0" fontId="0" fillId="2" borderId="1" xfId="0" applyFill="1" applyBorder="1" applyAlignment="1">
      <alignment/>
    </xf>
    <xf numFmtId="3" fontId="18" fillId="2" borderId="1" xfId="0" applyNumberFormat="1" applyFont="1" applyFill="1" applyBorder="1" applyAlignment="1">
      <alignment horizontal="center" vertical="center" textRotation="90"/>
    </xf>
    <xf numFmtId="3" fontId="0" fillId="2" borderId="36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1" fontId="9" fillId="2" borderId="36" xfId="0" applyNumberFormat="1" applyFont="1" applyFill="1" applyBorder="1" applyAlignment="1">
      <alignment horizontal="center" textRotation="90"/>
    </xf>
    <xf numFmtId="1" fontId="9" fillId="2" borderId="1" xfId="0" applyNumberFormat="1" applyFont="1" applyFill="1" applyBorder="1" applyAlignment="1">
      <alignment horizontal="center" textRotation="90"/>
    </xf>
    <xf numFmtId="1" fontId="9" fillId="2" borderId="37" xfId="0" applyNumberFormat="1" applyFont="1" applyFill="1" applyBorder="1" applyAlignment="1">
      <alignment horizontal="center" textRotation="90"/>
    </xf>
    <xf numFmtId="0" fontId="0" fillId="2" borderId="27" xfId="0" applyFill="1" applyBorder="1" applyAlignment="1">
      <alignment/>
    </xf>
    <xf numFmtId="3" fontId="0" fillId="2" borderId="27" xfId="0" applyNumberFormat="1" applyFill="1" applyBorder="1" applyAlignment="1">
      <alignment/>
    </xf>
    <xf numFmtId="3" fontId="1" fillId="2" borderId="27" xfId="0" applyNumberFormat="1" applyFont="1" applyFill="1" applyBorder="1" applyAlignment="1">
      <alignment horizontal="center" textRotation="90"/>
    </xf>
    <xf numFmtId="3" fontId="9" fillId="2" borderId="37" xfId="0" applyNumberFormat="1" applyFont="1" applyFill="1" applyBorder="1" applyAlignment="1">
      <alignment horizontal="center" textRotation="90"/>
    </xf>
    <xf numFmtId="0" fontId="7" fillId="2" borderId="38" xfId="0" applyNumberFormat="1" applyFont="1" applyFill="1" applyBorder="1" applyAlignment="1">
      <alignment horizontal="left"/>
    </xf>
    <xf numFmtId="0" fontId="7" fillId="2" borderId="39" xfId="0" applyNumberFormat="1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0" fontId="1" fillId="2" borderId="38" xfId="0" applyNumberFormat="1" applyFont="1" applyFill="1" applyBorder="1" applyAlignment="1">
      <alignment horizontal="left"/>
    </xf>
    <xf numFmtId="0" fontId="1" fillId="2" borderId="39" xfId="0" applyNumberFormat="1" applyFont="1" applyFill="1" applyBorder="1" applyAlignment="1">
      <alignment horizontal="left"/>
    </xf>
    <xf numFmtId="49" fontId="24" fillId="7" borderId="12" xfId="0" applyNumberFormat="1" applyFont="1" applyFill="1" applyBorder="1" applyAlignment="1">
      <alignment horizontal="left"/>
    </xf>
    <xf numFmtId="0" fontId="24" fillId="7" borderId="1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" fontId="10" fillId="8" borderId="35" xfId="0" applyNumberFormat="1" applyFont="1" applyFill="1" applyBorder="1" applyAlignment="1">
      <alignment horizontal="center"/>
    </xf>
    <xf numFmtId="1" fontId="10" fillId="8" borderId="40" xfId="0" applyNumberFormat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3" fontId="10" fillId="8" borderId="35" xfId="0" applyNumberFormat="1" applyFont="1" applyFill="1" applyBorder="1" applyAlignment="1">
      <alignment horizontal="right"/>
    </xf>
    <xf numFmtId="3" fontId="10" fillId="8" borderId="44" xfId="0" applyNumberFormat="1" applyFont="1" applyFill="1" applyBorder="1" applyAlignment="1">
      <alignment horizontal="right"/>
    </xf>
    <xf numFmtId="3" fontId="10" fillId="8" borderId="4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3" fontId="1" fillId="3" borderId="35" xfId="0" applyNumberFormat="1" applyFont="1" applyFill="1" applyBorder="1" applyAlignment="1">
      <alignment horizontal="right"/>
    </xf>
    <xf numFmtId="0" fontId="1" fillId="2" borderId="20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3" fontId="10" fillId="8" borderId="35" xfId="0" applyNumberFormat="1" applyFont="1" applyFill="1" applyBorder="1" applyAlignment="1">
      <alignment horizontal="right" wrapText="1"/>
    </xf>
    <xf numFmtId="3" fontId="10" fillId="8" borderId="44" xfId="0" applyNumberFormat="1" applyFont="1" applyFill="1" applyBorder="1" applyAlignment="1">
      <alignment horizontal="right" wrapText="1"/>
    </xf>
    <xf numFmtId="3" fontId="10" fillId="8" borderId="40" xfId="0" applyNumberFormat="1" applyFont="1" applyFill="1" applyBorder="1" applyAlignment="1">
      <alignment horizontal="right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3" fontId="1" fillId="3" borderId="44" xfId="0" applyNumberFormat="1" applyFont="1" applyFill="1" applyBorder="1" applyAlignment="1">
      <alignment horizontal="right"/>
    </xf>
    <xf numFmtId="3" fontId="1" fillId="3" borderId="40" xfId="0" applyNumberFormat="1" applyFont="1" applyFill="1" applyBorder="1" applyAlignment="1">
      <alignment horizontal="right"/>
    </xf>
    <xf numFmtId="2" fontId="1" fillId="3" borderId="35" xfId="0" applyNumberFormat="1" applyFont="1" applyFill="1" applyBorder="1" applyAlignment="1">
      <alignment horizontal="right"/>
    </xf>
    <xf numFmtId="2" fontId="1" fillId="3" borderId="34" xfId="0" applyNumberFormat="1" applyFont="1" applyFill="1" applyBorder="1" applyAlignment="1">
      <alignment horizontal="right"/>
    </xf>
    <xf numFmtId="2" fontId="1" fillId="3" borderId="44" xfId="0" applyNumberFormat="1" applyFont="1" applyFill="1" applyBorder="1" applyAlignment="1">
      <alignment horizontal="right"/>
    </xf>
    <xf numFmtId="2" fontId="1" fillId="3" borderId="4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170" fontId="23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1" fontId="24" fillId="7" borderId="12" xfId="0" applyNumberFormat="1" applyFont="1" applyFill="1" applyBorder="1" applyAlignment="1">
      <alignment horizontal="left"/>
    </xf>
    <xf numFmtId="171" fontId="7" fillId="2" borderId="49" xfId="0" applyNumberFormat="1" applyFont="1" applyFill="1" applyBorder="1" applyAlignment="1">
      <alignment horizontal="right"/>
    </xf>
    <xf numFmtId="0" fontId="15" fillId="2" borderId="50" xfId="0" applyFont="1" applyFill="1" applyBorder="1" applyAlignment="1">
      <alignment horizontal="center" wrapText="1"/>
    </xf>
    <xf numFmtId="0" fontId="15" fillId="2" borderId="51" xfId="0" applyFont="1" applyFill="1" applyBorder="1" applyAlignment="1">
      <alignment horizontal="center" wrapText="1"/>
    </xf>
    <xf numFmtId="172" fontId="7" fillId="2" borderId="0" xfId="0" applyNumberFormat="1" applyFont="1" applyFill="1" applyBorder="1" applyAlignment="1">
      <alignment horizontal="right"/>
    </xf>
    <xf numFmtId="0" fontId="20" fillId="2" borderId="52" xfId="0" applyFont="1" applyFill="1" applyBorder="1" applyAlignment="1">
      <alignment horizontal="center" wrapText="1"/>
    </xf>
    <xf numFmtId="0" fontId="20" fillId="2" borderId="53" xfId="0" applyFont="1" applyFill="1" applyBorder="1" applyAlignment="1">
      <alignment horizontal="center" wrapText="1"/>
    </xf>
    <xf numFmtId="0" fontId="20" fillId="2" borderId="18" xfId="0" applyFont="1" applyFill="1" applyBorder="1" applyAlignment="1">
      <alignment horizontal="center" wrapText="1"/>
    </xf>
    <xf numFmtId="0" fontId="20" fillId="2" borderId="54" xfId="0" applyFont="1" applyFill="1" applyBorder="1" applyAlignment="1">
      <alignment horizontal="center" wrapText="1"/>
    </xf>
    <xf numFmtId="0" fontId="18" fillId="2" borderId="55" xfId="0" applyFont="1" applyFill="1" applyBorder="1" applyAlignment="1">
      <alignment horizontal="left" vertical="center" textRotation="90"/>
    </xf>
    <xf numFmtId="0" fontId="18" fillId="2" borderId="56" xfId="0" applyFont="1" applyFill="1" applyBorder="1" applyAlignment="1">
      <alignment horizontal="left" vertical="center" textRotation="90"/>
    </xf>
    <xf numFmtId="0" fontId="18" fillId="2" borderId="57" xfId="0" applyFont="1" applyFill="1" applyBorder="1" applyAlignment="1">
      <alignment horizontal="left" vertical="center" textRotation="90"/>
    </xf>
    <xf numFmtId="3" fontId="7" fillId="2" borderId="38" xfId="0" applyNumberFormat="1" applyFont="1" applyFill="1" applyBorder="1" applyAlignment="1">
      <alignment horizontal="right"/>
    </xf>
    <xf numFmtId="0" fontId="20" fillId="2" borderId="58" xfId="0" applyFont="1" applyFill="1" applyBorder="1" applyAlignment="1">
      <alignment horizontal="center" wrapText="1"/>
    </xf>
    <xf numFmtId="0" fontId="20" fillId="2" borderId="59" xfId="0" applyFont="1" applyFill="1" applyBorder="1" applyAlignment="1">
      <alignment horizontal="center" wrapText="1"/>
    </xf>
    <xf numFmtId="0" fontId="20" fillId="2" borderId="60" xfId="0" applyFont="1" applyFill="1" applyBorder="1" applyAlignment="1">
      <alignment horizontal="center" wrapText="1"/>
    </xf>
    <xf numFmtId="3" fontId="7" fillId="2" borderId="49" xfId="0" applyNumberFormat="1" applyFont="1" applyFill="1" applyBorder="1" applyAlignment="1">
      <alignment horizontal="right"/>
    </xf>
    <xf numFmtId="0" fontId="7" fillId="2" borderId="38" xfId="0" applyNumberFormat="1" applyFont="1" applyFill="1" applyBorder="1" applyAlignment="1">
      <alignment horizontal="left"/>
    </xf>
    <xf numFmtId="0" fontId="7" fillId="2" borderId="39" xfId="0" applyNumberFormat="1" applyFont="1" applyFill="1" applyBorder="1" applyAlignment="1">
      <alignment horizontal="left"/>
    </xf>
    <xf numFmtId="1" fontId="7" fillId="2" borderId="38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11" fillId="2" borderId="49" xfId="0" applyNumberFormat="1" applyFont="1" applyFill="1" applyBorder="1" applyAlignment="1">
      <alignment horizontal="left"/>
    </xf>
    <xf numFmtId="0" fontId="11" fillId="2" borderId="61" xfId="0" applyNumberFormat="1" applyFont="1" applyFill="1" applyBorder="1" applyAlignment="1">
      <alignment horizontal="left"/>
    </xf>
    <xf numFmtId="49" fontId="12" fillId="2" borderId="38" xfId="0" applyNumberFormat="1" applyFont="1" applyFill="1" applyBorder="1" applyAlignment="1">
      <alignment horizontal="left"/>
    </xf>
    <xf numFmtId="0" fontId="15" fillId="2" borderId="58" xfId="0" applyFont="1" applyFill="1" applyBorder="1" applyAlignment="1">
      <alignment horizontal="center" wrapText="1"/>
    </xf>
    <xf numFmtId="0" fontId="15" fillId="2" borderId="59" xfId="0" applyFont="1" applyFill="1" applyBorder="1" applyAlignment="1">
      <alignment horizontal="center" wrapText="1"/>
    </xf>
    <xf numFmtId="1" fontId="7" fillId="2" borderId="0" xfId="0" applyNumberFormat="1" applyFont="1" applyFill="1" applyBorder="1" applyAlignment="1">
      <alignment horizontal="left"/>
    </xf>
    <xf numFmtId="3" fontId="7" fillId="2" borderId="0" xfId="0" applyNumberFormat="1" applyFont="1" applyFill="1" applyBorder="1" applyAlignment="1">
      <alignment horizontal="right"/>
    </xf>
    <xf numFmtId="0" fontId="1" fillId="4" borderId="20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 vertical="top"/>
    </xf>
    <xf numFmtId="0" fontId="1" fillId="4" borderId="21" xfId="0" applyFont="1" applyFill="1" applyBorder="1" applyAlignment="1">
      <alignment horizontal="left" vertical="top"/>
    </xf>
    <xf numFmtId="0" fontId="25" fillId="2" borderId="20" xfId="0" applyFont="1" applyFill="1" applyBorder="1" applyAlignment="1">
      <alignment horizontal="left" vertical="center"/>
    </xf>
    <xf numFmtId="0" fontId="26" fillId="2" borderId="45" xfId="0" applyFont="1" applyFill="1" applyBorder="1" applyAlignment="1">
      <alignment horizontal="left" vertical="center"/>
    </xf>
    <xf numFmtId="0" fontId="26" fillId="2" borderId="2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4" fontId="1" fillId="3" borderId="35" xfId="0" applyNumberFormat="1" applyFont="1" applyFill="1" applyBorder="1" applyAlignment="1">
      <alignment horizontal="right"/>
    </xf>
    <xf numFmtId="4" fontId="1" fillId="3" borderId="44" xfId="0" applyNumberFormat="1" applyFont="1" applyFill="1" applyBorder="1" applyAlignment="1">
      <alignment horizontal="right"/>
    </xf>
    <xf numFmtId="4" fontId="1" fillId="3" borderId="40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4" fontId="0" fillId="0" borderId="44" xfId="0" applyNumberFormat="1" applyBorder="1" applyAlignment="1">
      <alignment/>
    </xf>
    <xf numFmtId="4" fontId="0" fillId="0" borderId="40" xfId="0" applyNumberFormat="1" applyBorder="1" applyAlignment="1">
      <alignment/>
    </xf>
  </cellXfs>
  <cellStyles count="8">
    <cellStyle name="Normal" xfId="0"/>
    <cellStyle name="RowLevel_0" xfId="1"/>
    <cellStyle name="ColLevel_0" xfId="2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14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6.emf" /><Relationship Id="rId8" Type="http://schemas.openxmlformats.org/officeDocument/2006/relationships/image" Target="../media/image12.emf" /><Relationship Id="rId9" Type="http://schemas.openxmlformats.org/officeDocument/2006/relationships/image" Target="../media/image3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5.emf" /><Relationship Id="rId13" Type="http://schemas.openxmlformats.org/officeDocument/2006/relationships/image" Target="../media/image13.emf" /><Relationship Id="rId1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16</xdr:row>
      <xdr:rowOff>28575</xdr:rowOff>
    </xdr:from>
    <xdr:to>
      <xdr:col>15</xdr:col>
      <xdr:colOff>28575</xdr:colOff>
      <xdr:row>16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24860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16</xdr:row>
      <xdr:rowOff>28575</xdr:rowOff>
    </xdr:from>
    <xdr:to>
      <xdr:col>21</xdr:col>
      <xdr:colOff>28575</xdr:colOff>
      <xdr:row>16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4860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16</xdr:row>
      <xdr:rowOff>28575</xdr:rowOff>
    </xdr:from>
    <xdr:to>
      <xdr:col>27</xdr:col>
      <xdr:colOff>28575</xdr:colOff>
      <xdr:row>16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4860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16</xdr:row>
      <xdr:rowOff>28575</xdr:rowOff>
    </xdr:from>
    <xdr:to>
      <xdr:col>33</xdr:col>
      <xdr:colOff>28575</xdr:colOff>
      <xdr:row>16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24860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16</xdr:row>
      <xdr:rowOff>28575</xdr:rowOff>
    </xdr:from>
    <xdr:to>
      <xdr:col>39</xdr:col>
      <xdr:colOff>28575</xdr:colOff>
      <xdr:row>16</xdr:row>
      <xdr:rowOff>161925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4860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38100</xdr:rowOff>
    </xdr:from>
    <xdr:to>
      <xdr:col>14</xdr:col>
      <xdr:colOff>142875</xdr:colOff>
      <xdr:row>15</xdr:row>
      <xdr:rowOff>19050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2190750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13</xdr:row>
      <xdr:rowOff>38100</xdr:rowOff>
    </xdr:from>
    <xdr:to>
      <xdr:col>20</xdr:col>
      <xdr:colOff>142875</xdr:colOff>
      <xdr:row>15</xdr:row>
      <xdr:rowOff>19050</xdr:rowOff>
    </xdr:to>
    <xdr:pic>
      <xdr:nvPicPr>
        <xdr:cNvPr id="7" name="Combo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2190750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13</xdr:row>
      <xdr:rowOff>38100</xdr:rowOff>
    </xdr:from>
    <xdr:to>
      <xdr:col>26</xdr:col>
      <xdr:colOff>142875</xdr:colOff>
      <xdr:row>15</xdr:row>
      <xdr:rowOff>19050</xdr:rowOff>
    </xdr:to>
    <xdr:pic>
      <xdr:nvPicPr>
        <xdr:cNvPr id="8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86200" y="2190750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13</xdr:row>
      <xdr:rowOff>38100</xdr:rowOff>
    </xdr:from>
    <xdr:to>
      <xdr:col>32</xdr:col>
      <xdr:colOff>142875</xdr:colOff>
      <xdr:row>15</xdr:row>
      <xdr:rowOff>19050</xdr:rowOff>
    </xdr:to>
    <xdr:pic>
      <xdr:nvPicPr>
        <xdr:cNvPr id="9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2190750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13</xdr:row>
      <xdr:rowOff>38100</xdr:rowOff>
    </xdr:from>
    <xdr:to>
      <xdr:col>38</xdr:col>
      <xdr:colOff>142875</xdr:colOff>
      <xdr:row>15</xdr:row>
      <xdr:rowOff>19050</xdr:rowOff>
    </xdr:to>
    <xdr:pic>
      <xdr:nvPicPr>
        <xdr:cNvPr id="10" name="Combo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29300" y="2190750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38100</xdr:rowOff>
    </xdr:from>
    <xdr:to>
      <xdr:col>14</xdr:col>
      <xdr:colOff>57150</xdr:colOff>
      <xdr:row>19</xdr:row>
      <xdr:rowOff>28575</xdr:rowOff>
    </xdr:to>
    <xdr:pic>
      <xdr:nvPicPr>
        <xdr:cNvPr id="11" name="Combo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2686050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14</xdr:col>
      <xdr:colOff>57150</xdr:colOff>
      <xdr:row>21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29527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20</xdr:row>
      <xdr:rowOff>0</xdr:rowOff>
    </xdr:from>
    <xdr:to>
      <xdr:col>16</xdr:col>
      <xdr:colOff>133350</xdr:colOff>
      <xdr:row>21</xdr:row>
      <xdr:rowOff>38100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43150" y="29527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18</xdr:row>
      <xdr:rowOff>0</xdr:rowOff>
    </xdr:from>
    <xdr:to>
      <xdr:col>16</xdr:col>
      <xdr:colOff>133350</xdr:colOff>
      <xdr:row>19</xdr:row>
      <xdr:rowOff>38100</xdr:rowOff>
    </xdr:to>
    <xdr:pic>
      <xdr:nvPicPr>
        <xdr:cNvPr id="14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43150" y="27051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17</xdr:row>
      <xdr:rowOff>38100</xdr:rowOff>
    </xdr:from>
    <xdr:to>
      <xdr:col>20</xdr:col>
      <xdr:colOff>57150</xdr:colOff>
      <xdr:row>19</xdr:row>
      <xdr:rowOff>28575</xdr:rowOff>
    </xdr:to>
    <xdr:pic>
      <xdr:nvPicPr>
        <xdr:cNvPr id="15" name="Combo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14650" y="2686050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17</xdr:row>
      <xdr:rowOff>38100</xdr:rowOff>
    </xdr:from>
    <xdr:to>
      <xdr:col>26</xdr:col>
      <xdr:colOff>57150</xdr:colOff>
      <xdr:row>19</xdr:row>
      <xdr:rowOff>28575</xdr:rowOff>
    </xdr:to>
    <xdr:pic>
      <xdr:nvPicPr>
        <xdr:cNvPr id="16" name="ComboBox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86200" y="2686050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17</xdr:row>
      <xdr:rowOff>38100</xdr:rowOff>
    </xdr:from>
    <xdr:to>
      <xdr:col>32</xdr:col>
      <xdr:colOff>57150</xdr:colOff>
      <xdr:row>19</xdr:row>
      <xdr:rowOff>28575</xdr:rowOff>
    </xdr:to>
    <xdr:pic>
      <xdr:nvPicPr>
        <xdr:cNvPr id="17" name="ComboBox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57750" y="2686050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17</xdr:row>
      <xdr:rowOff>38100</xdr:rowOff>
    </xdr:from>
    <xdr:to>
      <xdr:col>38</xdr:col>
      <xdr:colOff>57150</xdr:colOff>
      <xdr:row>19</xdr:row>
      <xdr:rowOff>28575</xdr:rowOff>
    </xdr:to>
    <xdr:pic>
      <xdr:nvPicPr>
        <xdr:cNvPr id="18" name="ComboBox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29300" y="2686050"/>
          <a:ext cx="381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18</xdr:row>
      <xdr:rowOff>0</xdr:rowOff>
    </xdr:from>
    <xdr:to>
      <xdr:col>22</xdr:col>
      <xdr:colOff>133350</xdr:colOff>
      <xdr:row>19</xdr:row>
      <xdr:rowOff>38100</xdr:rowOff>
    </xdr:to>
    <xdr:pic>
      <xdr:nvPicPr>
        <xdr:cNvPr id="19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14700" y="27051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76200</xdr:colOff>
      <xdr:row>18</xdr:row>
      <xdr:rowOff>0</xdr:rowOff>
    </xdr:from>
    <xdr:to>
      <xdr:col>28</xdr:col>
      <xdr:colOff>133350</xdr:colOff>
      <xdr:row>19</xdr:row>
      <xdr:rowOff>38100</xdr:rowOff>
    </xdr:to>
    <xdr:pic>
      <xdr:nvPicPr>
        <xdr:cNvPr id="20" name="ComboBox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27051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18</xdr:row>
      <xdr:rowOff>0</xdr:rowOff>
    </xdr:from>
    <xdr:to>
      <xdr:col>34</xdr:col>
      <xdr:colOff>133350</xdr:colOff>
      <xdr:row>19</xdr:row>
      <xdr:rowOff>38100</xdr:rowOff>
    </xdr:to>
    <xdr:pic>
      <xdr:nvPicPr>
        <xdr:cNvPr id="21" name="ComboBox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57800" y="27051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76200</xdr:colOff>
      <xdr:row>18</xdr:row>
      <xdr:rowOff>0</xdr:rowOff>
    </xdr:from>
    <xdr:to>
      <xdr:col>40</xdr:col>
      <xdr:colOff>133350</xdr:colOff>
      <xdr:row>19</xdr:row>
      <xdr:rowOff>38100</xdr:rowOff>
    </xdr:to>
    <xdr:pic>
      <xdr:nvPicPr>
        <xdr:cNvPr id="22" name="ComboBox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29350" y="27051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20</xdr:row>
      <xdr:rowOff>0</xdr:rowOff>
    </xdr:from>
    <xdr:to>
      <xdr:col>20</xdr:col>
      <xdr:colOff>57150</xdr:colOff>
      <xdr:row>21</xdr:row>
      <xdr:rowOff>38100</xdr:rowOff>
    </xdr:to>
    <xdr:pic>
      <xdr:nvPicPr>
        <xdr:cNvPr id="23" name="ComboBox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14650" y="29527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20</xdr:row>
      <xdr:rowOff>0</xdr:rowOff>
    </xdr:from>
    <xdr:to>
      <xdr:col>26</xdr:col>
      <xdr:colOff>57150</xdr:colOff>
      <xdr:row>21</xdr:row>
      <xdr:rowOff>38100</xdr:rowOff>
    </xdr:to>
    <xdr:pic>
      <xdr:nvPicPr>
        <xdr:cNvPr id="24" name="ComboBox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86200" y="29527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20</xdr:row>
      <xdr:rowOff>0</xdr:rowOff>
    </xdr:from>
    <xdr:to>
      <xdr:col>32</xdr:col>
      <xdr:colOff>57150</xdr:colOff>
      <xdr:row>21</xdr:row>
      <xdr:rowOff>38100</xdr:rowOff>
    </xdr:to>
    <xdr:pic>
      <xdr:nvPicPr>
        <xdr:cNvPr id="25" name="ComboBox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57750" y="29527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20</xdr:row>
      <xdr:rowOff>0</xdr:rowOff>
    </xdr:from>
    <xdr:to>
      <xdr:col>38</xdr:col>
      <xdr:colOff>57150</xdr:colOff>
      <xdr:row>21</xdr:row>
      <xdr:rowOff>38100</xdr:rowOff>
    </xdr:to>
    <xdr:pic>
      <xdr:nvPicPr>
        <xdr:cNvPr id="26" name="ComboBox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29300" y="29527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20</xdr:row>
      <xdr:rowOff>0</xdr:rowOff>
    </xdr:from>
    <xdr:to>
      <xdr:col>22</xdr:col>
      <xdr:colOff>133350</xdr:colOff>
      <xdr:row>21</xdr:row>
      <xdr:rowOff>38100</xdr:rowOff>
    </xdr:to>
    <xdr:pic>
      <xdr:nvPicPr>
        <xdr:cNvPr id="27" name="ComboBox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14700" y="29527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76200</xdr:colOff>
      <xdr:row>20</xdr:row>
      <xdr:rowOff>0</xdr:rowOff>
    </xdr:from>
    <xdr:to>
      <xdr:col>28</xdr:col>
      <xdr:colOff>133350</xdr:colOff>
      <xdr:row>21</xdr:row>
      <xdr:rowOff>38100</xdr:rowOff>
    </xdr:to>
    <xdr:pic>
      <xdr:nvPicPr>
        <xdr:cNvPr id="28" name="ComboBox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29527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20</xdr:row>
      <xdr:rowOff>0</xdr:rowOff>
    </xdr:from>
    <xdr:to>
      <xdr:col>34</xdr:col>
      <xdr:colOff>133350</xdr:colOff>
      <xdr:row>21</xdr:row>
      <xdr:rowOff>38100</xdr:rowOff>
    </xdr:to>
    <xdr:pic>
      <xdr:nvPicPr>
        <xdr:cNvPr id="29" name="ComboBox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57800" y="29527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85725</xdr:colOff>
      <xdr:row>20</xdr:row>
      <xdr:rowOff>0</xdr:rowOff>
    </xdr:from>
    <xdr:to>
      <xdr:col>40</xdr:col>
      <xdr:colOff>142875</xdr:colOff>
      <xdr:row>21</xdr:row>
      <xdr:rowOff>38100</xdr:rowOff>
    </xdr:to>
    <xdr:pic>
      <xdr:nvPicPr>
        <xdr:cNvPr id="30" name="ComboBox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38875" y="29527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Y43"/>
  <sheetViews>
    <sheetView tabSelected="1" zoomScale="90" zoomScaleNormal="90" workbookViewId="0" topLeftCell="A1">
      <selection activeCell="Y4" sqref="Y4:AV4"/>
    </sheetView>
  </sheetViews>
  <sheetFormatPr defaultColWidth="9.140625" defaultRowHeight="15" customHeight="1"/>
  <cols>
    <col min="1" max="16384" width="2.421875" style="1" customWidth="1"/>
  </cols>
  <sheetData>
    <row r="1" spans="1:51" ht="15" customHeight="1">
      <c r="A1" s="70" t="s">
        <v>195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99"/>
      <c r="P1" s="200"/>
      <c r="Q1" s="200"/>
      <c r="R1" s="200"/>
      <c r="S1" s="2"/>
      <c r="T1" s="2"/>
      <c r="U1" s="2"/>
      <c r="W1" s="130" t="s">
        <v>2</v>
      </c>
      <c r="Y1" s="203">
        <v>2001</v>
      </c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73"/>
      <c r="AX1" s="73"/>
      <c r="AY1" s="73"/>
    </row>
    <row r="2" spans="1:51" ht="15" customHeight="1">
      <c r="A2" s="201">
        <f ca="1">NOW()</f>
        <v>37996.330430208334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69"/>
      <c r="P2" s="69"/>
      <c r="Q2" s="69"/>
      <c r="R2" s="69"/>
      <c r="S2" s="69"/>
      <c r="T2" s="69"/>
      <c r="U2" s="69"/>
      <c r="W2" s="130" t="s">
        <v>152</v>
      </c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91"/>
      <c r="AX2" s="91"/>
      <c r="AY2" s="91"/>
    </row>
    <row r="3" spans="2:51" ht="15" customHeight="1">
      <c r="B3" s="238" t="s">
        <v>204</v>
      </c>
      <c r="M3" s="72"/>
      <c r="N3" s="68"/>
      <c r="O3" s="69"/>
      <c r="P3" s="69"/>
      <c r="Q3" s="69"/>
      <c r="R3" s="69"/>
      <c r="S3" s="69"/>
      <c r="T3" s="69"/>
      <c r="U3" s="69"/>
      <c r="W3" s="130" t="s">
        <v>0</v>
      </c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91"/>
      <c r="AX3" s="91"/>
      <c r="AY3" s="91"/>
    </row>
    <row r="4" spans="1:51" ht="15" customHeight="1">
      <c r="A4" s="66"/>
      <c r="B4" s="66"/>
      <c r="C4" s="66"/>
      <c r="D4" s="66"/>
      <c r="E4" s="67"/>
      <c r="F4" s="67"/>
      <c r="G4" s="67"/>
      <c r="H4" s="67"/>
      <c r="I4" s="97"/>
      <c r="J4" s="71"/>
      <c r="K4" s="68"/>
      <c r="L4" s="71"/>
      <c r="M4" s="69"/>
      <c r="N4" s="69"/>
      <c r="O4" s="69"/>
      <c r="P4" s="69"/>
      <c r="Q4" s="69"/>
      <c r="R4" s="69"/>
      <c r="S4" s="69"/>
      <c r="T4" s="69"/>
      <c r="U4" s="69"/>
      <c r="W4" s="130" t="s">
        <v>154</v>
      </c>
      <c r="Y4" s="235" t="s">
        <v>205</v>
      </c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7"/>
      <c r="AW4" s="92"/>
      <c r="AX4" s="92"/>
      <c r="AY4" s="92"/>
    </row>
    <row r="5" spans="1:51" ht="15" customHeight="1">
      <c r="A5" s="66"/>
      <c r="B5" s="66"/>
      <c r="C5" s="66"/>
      <c r="D5" s="66"/>
      <c r="F5" s="67"/>
      <c r="G5" s="67"/>
      <c r="H5" s="71"/>
      <c r="I5" s="68"/>
      <c r="J5" s="69"/>
      <c r="K5" s="69"/>
      <c r="L5" s="69"/>
      <c r="M5" s="69"/>
      <c r="N5" s="68"/>
      <c r="O5" s="69"/>
      <c r="P5" s="69"/>
      <c r="Q5" s="69"/>
      <c r="R5" s="69"/>
      <c r="S5" s="69"/>
      <c r="T5" s="69"/>
      <c r="U5" s="69"/>
      <c r="W5" s="130" t="s">
        <v>188</v>
      </c>
      <c r="Y5" s="169" t="s">
        <v>203</v>
      </c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93"/>
      <c r="AX5" s="93"/>
      <c r="AY5" s="93"/>
    </row>
    <row r="6" spans="1:51" ht="15" customHeight="1">
      <c r="A6" s="84"/>
      <c r="B6" s="84"/>
      <c r="C6" s="66"/>
      <c r="D6" s="66"/>
      <c r="E6" s="67"/>
      <c r="F6" s="67"/>
      <c r="G6" s="67"/>
      <c r="H6" s="71"/>
      <c r="I6" s="68"/>
      <c r="J6" s="69"/>
      <c r="K6" s="69"/>
      <c r="L6" s="69"/>
      <c r="M6" s="69"/>
      <c r="N6" s="68"/>
      <c r="O6" s="69"/>
      <c r="P6" s="69"/>
      <c r="Q6" s="69"/>
      <c r="R6" s="69"/>
      <c r="S6" s="69"/>
      <c r="T6" s="69"/>
      <c r="U6" s="69"/>
      <c r="W6" s="130" t="s">
        <v>189</v>
      </c>
      <c r="Y6" s="169" t="s">
        <v>199</v>
      </c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93"/>
      <c r="AX6" s="93"/>
      <c r="AY6" s="93"/>
    </row>
    <row r="7" spans="1:51" ht="15" customHeight="1">
      <c r="A7" s="85"/>
      <c r="B7" s="85"/>
      <c r="C7" s="66"/>
      <c r="D7" s="66"/>
      <c r="E7" s="67"/>
      <c r="G7" s="67"/>
      <c r="H7" s="98"/>
      <c r="I7" s="68"/>
      <c r="J7" s="69"/>
      <c r="K7" s="69"/>
      <c r="L7" s="69"/>
      <c r="M7" s="69"/>
      <c r="N7" s="68"/>
      <c r="O7" s="69"/>
      <c r="P7" s="69"/>
      <c r="Q7" s="69"/>
      <c r="R7" s="69"/>
      <c r="S7" s="69"/>
      <c r="T7" s="69"/>
      <c r="U7" s="69"/>
      <c r="W7" s="130" t="s">
        <v>153</v>
      </c>
      <c r="Y7" s="168" t="s">
        <v>200</v>
      </c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31"/>
      <c r="AX7" s="31"/>
      <c r="AY7" s="31"/>
    </row>
    <row r="8" spans="1:51" ht="15" customHeight="1">
      <c r="A8" s="66"/>
      <c r="B8" s="66"/>
      <c r="H8" s="69"/>
      <c r="I8" s="69"/>
      <c r="J8" s="69"/>
      <c r="K8" s="69"/>
      <c r="L8" s="69"/>
      <c r="M8" s="69"/>
      <c r="N8" s="68"/>
      <c r="O8" s="69"/>
      <c r="P8" s="69"/>
      <c r="Q8" s="69"/>
      <c r="R8" s="69"/>
      <c r="S8" s="69"/>
      <c r="T8" s="69"/>
      <c r="U8" s="69"/>
      <c r="W8" s="130" t="s">
        <v>155</v>
      </c>
      <c r="Y8" s="169" t="s">
        <v>199</v>
      </c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91"/>
      <c r="AX8" s="91"/>
      <c r="AY8" s="91"/>
    </row>
    <row r="9" spans="1:51" ht="15" customHeight="1">
      <c r="A9" s="66"/>
      <c r="B9" s="66"/>
      <c r="D9" s="66"/>
      <c r="E9" s="67"/>
      <c r="F9" s="67"/>
      <c r="G9" s="69"/>
      <c r="H9" s="69"/>
      <c r="I9" s="69"/>
      <c r="J9" s="69"/>
      <c r="K9" s="69"/>
      <c r="L9" s="69"/>
      <c r="M9" s="69"/>
      <c r="N9" s="68"/>
      <c r="O9" s="69"/>
      <c r="P9" s="69"/>
      <c r="Q9" s="69"/>
      <c r="R9" s="69"/>
      <c r="S9" s="69"/>
      <c r="T9" s="69"/>
      <c r="U9" s="69"/>
      <c r="W9" s="130" t="s">
        <v>153</v>
      </c>
      <c r="Y9" s="168" t="s">
        <v>200</v>
      </c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92"/>
      <c r="AX9" s="92"/>
      <c r="AY9" s="92"/>
    </row>
    <row r="10" spans="1:51" ht="2.25" customHeight="1">
      <c r="A10" s="66"/>
      <c r="B10" s="66"/>
      <c r="C10" s="66"/>
      <c r="D10" s="66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71"/>
      <c r="P10" s="68"/>
      <c r="Q10" s="69"/>
      <c r="R10" s="69"/>
      <c r="S10" s="69"/>
      <c r="T10" s="69"/>
      <c r="U10" s="69"/>
      <c r="V10" s="69"/>
      <c r="W10" s="69"/>
      <c r="X10" s="69"/>
      <c r="Y10" s="68"/>
      <c r="Z10" s="68"/>
      <c r="AA10" s="68"/>
      <c r="AB10" s="68"/>
      <c r="AC10" s="68"/>
      <c r="AD10" s="68"/>
      <c r="AE10" s="68"/>
      <c r="AF10" s="69"/>
      <c r="AG10" s="69"/>
      <c r="AH10" s="69"/>
      <c r="AI10" s="68"/>
      <c r="AJ10" s="68"/>
      <c r="AK10" s="68"/>
      <c r="AL10" s="68"/>
      <c r="AM10" s="68"/>
      <c r="AN10" s="68"/>
      <c r="AO10" s="68"/>
      <c r="AP10" s="69"/>
      <c r="AQ10" s="69"/>
      <c r="AR10" s="69"/>
      <c r="AS10" s="68"/>
      <c r="AT10" s="68"/>
      <c r="AU10" s="68"/>
      <c r="AV10" s="68"/>
      <c r="AW10" s="68"/>
      <c r="AX10" s="68"/>
      <c r="AY10" s="68"/>
    </row>
    <row r="11" spans="1:48" ht="15" customHeight="1">
      <c r="A11" s="66"/>
      <c r="B11" s="66"/>
      <c r="C11" s="66"/>
      <c r="D11" s="66"/>
      <c r="E11" s="67"/>
      <c r="F11" s="67"/>
      <c r="G11" s="67"/>
      <c r="H11" s="67"/>
      <c r="I11" s="67"/>
      <c r="J11" s="67"/>
      <c r="K11" s="67"/>
      <c r="L11" s="67"/>
      <c r="M11" s="198" t="s">
        <v>194</v>
      </c>
      <c r="N11" s="170"/>
      <c r="O11" s="170"/>
      <c r="P11" s="170"/>
      <c r="Q11" s="69"/>
      <c r="R11" s="69"/>
      <c r="S11" s="198" t="s">
        <v>3</v>
      </c>
      <c r="T11" s="170"/>
      <c r="U11" s="170"/>
      <c r="V11" s="170"/>
      <c r="W11" s="69"/>
      <c r="X11" s="69"/>
      <c r="Y11" s="198" t="s">
        <v>4</v>
      </c>
      <c r="Z11" s="170"/>
      <c r="AA11" s="170"/>
      <c r="AB11" s="170"/>
      <c r="AC11" s="69"/>
      <c r="AD11" s="69"/>
      <c r="AE11" s="198" t="s">
        <v>5</v>
      </c>
      <c r="AF11" s="170"/>
      <c r="AG11" s="170"/>
      <c r="AH11" s="170"/>
      <c r="AI11" s="69"/>
      <c r="AJ11" s="69"/>
      <c r="AK11" s="198" t="s">
        <v>6</v>
      </c>
      <c r="AL11" s="170"/>
      <c r="AM11" s="170"/>
      <c r="AN11" s="170"/>
      <c r="AP11" s="88"/>
      <c r="AR11" s="198" t="s">
        <v>186</v>
      </c>
      <c r="AS11" s="198"/>
      <c r="AT11" s="198"/>
      <c r="AU11" s="198"/>
      <c r="AV11" s="198"/>
    </row>
    <row r="12" spans="1:48" ht="2.25" customHeight="1">
      <c r="A12" s="66"/>
      <c r="B12" s="66"/>
      <c r="C12" s="66"/>
      <c r="D12" s="66"/>
      <c r="E12" s="67"/>
      <c r="F12" s="67"/>
      <c r="G12" s="67"/>
      <c r="H12" s="67"/>
      <c r="I12" s="67"/>
      <c r="J12" s="67"/>
      <c r="K12" s="67"/>
      <c r="L12" s="67"/>
      <c r="M12" s="126"/>
      <c r="N12" s="127"/>
      <c r="O12" s="127"/>
      <c r="P12" s="127"/>
      <c r="Q12" s="69"/>
      <c r="R12" s="69"/>
      <c r="S12" s="126"/>
      <c r="T12" s="127"/>
      <c r="U12" s="127"/>
      <c r="V12" s="127"/>
      <c r="W12" s="69"/>
      <c r="X12" s="69"/>
      <c r="Y12" s="126"/>
      <c r="Z12" s="127"/>
      <c r="AA12" s="127"/>
      <c r="AB12" s="127"/>
      <c r="AC12" s="69"/>
      <c r="AD12" s="69"/>
      <c r="AE12" s="126"/>
      <c r="AF12" s="127"/>
      <c r="AG12" s="127"/>
      <c r="AH12" s="127"/>
      <c r="AI12" s="69"/>
      <c r="AJ12" s="69"/>
      <c r="AK12" s="126"/>
      <c r="AL12" s="127"/>
      <c r="AM12" s="127"/>
      <c r="AN12" s="127"/>
      <c r="AO12" s="3"/>
      <c r="AP12" s="88"/>
      <c r="AQ12" s="3"/>
      <c r="AR12" s="126"/>
      <c r="AS12" s="126"/>
      <c r="AT12" s="126"/>
      <c r="AU12" s="126"/>
      <c r="AV12" s="126"/>
    </row>
    <row r="13" spans="1:48" ht="15" customHeight="1">
      <c r="A13" s="4" t="s">
        <v>7</v>
      </c>
      <c r="M13" s="239">
        <f>1182000/1936.27</f>
        <v>610.452054723773</v>
      </c>
      <c r="N13" s="240"/>
      <c r="O13" s="240"/>
      <c r="P13" s="241"/>
      <c r="Q13" s="87"/>
      <c r="R13" s="120"/>
      <c r="S13" s="239">
        <f>180000/1936.27</f>
        <v>92.96224183610757</v>
      </c>
      <c r="T13" s="240"/>
      <c r="U13" s="240"/>
      <c r="V13" s="241"/>
      <c r="W13" s="87"/>
      <c r="X13" s="124"/>
      <c r="Y13" s="182"/>
      <c r="Z13" s="192"/>
      <c r="AA13" s="192"/>
      <c r="AB13" s="193"/>
      <c r="AC13" s="87"/>
      <c r="AD13" s="124"/>
      <c r="AE13" s="182"/>
      <c r="AF13" s="192"/>
      <c r="AG13" s="192"/>
      <c r="AH13" s="193"/>
      <c r="AI13" s="87"/>
      <c r="AJ13" s="124"/>
      <c r="AK13" s="182"/>
      <c r="AL13" s="192"/>
      <c r="AM13" s="192"/>
      <c r="AN13" s="193"/>
      <c r="AP13" s="88"/>
      <c r="AQ13" s="125"/>
      <c r="AR13" s="177">
        <f>IF(SUM(M13,S13,Y13,AE13,AK13)&gt;0,SUM(M13,S13,Y13,AE13,AK13),"")</f>
        <v>703.4142965598805</v>
      </c>
      <c r="AS13" s="178"/>
      <c r="AT13" s="178"/>
      <c r="AU13" s="178"/>
      <c r="AV13" s="179"/>
    </row>
    <row r="14" spans="3:42" ht="4.5" customHeight="1">
      <c r="C14" s="4"/>
      <c r="M14" s="5"/>
      <c r="N14" s="6"/>
      <c r="O14" s="5"/>
      <c r="R14" s="121"/>
      <c r="S14" s="242"/>
      <c r="T14" s="6"/>
      <c r="U14" s="5"/>
      <c r="X14" s="121"/>
      <c r="Y14" s="5"/>
      <c r="Z14" s="6"/>
      <c r="AA14" s="5"/>
      <c r="AD14" s="121"/>
      <c r="AE14" s="5"/>
      <c r="AF14" s="6"/>
      <c r="AG14" s="5"/>
      <c r="AJ14" s="121"/>
      <c r="AK14" s="5"/>
      <c r="AL14" s="6"/>
      <c r="AM14" s="5"/>
      <c r="AP14" s="88"/>
    </row>
    <row r="15" spans="1:42" ht="15" customHeight="1">
      <c r="A15" s="4" t="s">
        <v>151</v>
      </c>
      <c r="M15" s="171"/>
      <c r="N15" s="171"/>
      <c r="O15" s="61"/>
      <c r="R15" s="121"/>
      <c r="S15" s="65"/>
      <c r="T15" s="7"/>
      <c r="U15" s="61"/>
      <c r="V15" s="3"/>
      <c r="W15" s="3"/>
      <c r="X15" s="121"/>
      <c r="Y15" s="65"/>
      <c r="Z15" s="7"/>
      <c r="AA15" s="61"/>
      <c r="AB15" s="3"/>
      <c r="AC15" s="3"/>
      <c r="AD15" s="121"/>
      <c r="AE15" s="65"/>
      <c r="AF15" s="7"/>
      <c r="AG15" s="61"/>
      <c r="AH15" s="3"/>
      <c r="AI15" s="3"/>
      <c r="AJ15" s="121"/>
      <c r="AK15" s="65"/>
      <c r="AL15" s="7"/>
      <c r="AM15" s="61"/>
      <c r="AP15" s="88"/>
    </row>
    <row r="16" spans="3:42" ht="4.5" customHeight="1">
      <c r="C16" s="4"/>
      <c r="N16" s="8"/>
      <c r="R16" s="121"/>
      <c r="T16" s="8"/>
      <c r="X16" s="121"/>
      <c r="Z16" s="8"/>
      <c r="AD16" s="121"/>
      <c r="AF16" s="8"/>
      <c r="AJ16" s="121"/>
      <c r="AL16" s="8"/>
      <c r="AP16" s="88"/>
    </row>
    <row r="17" spans="1:42" ht="15" customHeight="1">
      <c r="A17" s="4" t="s">
        <v>8</v>
      </c>
      <c r="M17" s="194">
        <v>5</v>
      </c>
      <c r="N17" s="195"/>
      <c r="R17" s="121"/>
      <c r="S17" s="194">
        <v>5</v>
      </c>
      <c r="T17" s="195"/>
      <c r="X17" s="121"/>
      <c r="Y17" s="194"/>
      <c r="Z17" s="195"/>
      <c r="AD17" s="121"/>
      <c r="AE17" s="194"/>
      <c r="AF17" s="195"/>
      <c r="AJ17" s="121"/>
      <c r="AK17" s="194"/>
      <c r="AL17" s="195"/>
      <c r="AP17" s="88"/>
    </row>
    <row r="18" spans="18:42" ht="4.5" customHeight="1">
      <c r="R18" s="121"/>
      <c r="X18" s="121"/>
      <c r="AD18" s="121"/>
      <c r="AJ18" s="121"/>
      <c r="AP18" s="88"/>
    </row>
    <row r="19" spans="1:42" ht="15" customHeight="1">
      <c r="A19" s="95" t="s">
        <v>180</v>
      </c>
      <c r="B19" s="94"/>
      <c r="C19" s="94"/>
      <c r="D19" s="94"/>
      <c r="E19" s="94"/>
      <c r="F19" s="94"/>
      <c r="G19" s="94"/>
      <c r="H19" s="94"/>
      <c r="L19" s="89" t="s">
        <v>178</v>
      </c>
      <c r="M19" s="3"/>
      <c r="N19" s="3"/>
      <c r="O19" s="3"/>
      <c r="P19" s="3"/>
      <c r="Q19" s="3"/>
      <c r="R19" s="122"/>
      <c r="X19" s="121"/>
      <c r="AD19" s="121"/>
      <c r="AJ19" s="121"/>
      <c r="AP19" s="88"/>
    </row>
    <row r="20" spans="1:42" ht="4.5" customHeight="1">
      <c r="A20" s="94"/>
      <c r="B20" s="94"/>
      <c r="C20" s="94"/>
      <c r="D20" s="94"/>
      <c r="E20" s="94"/>
      <c r="F20" s="94"/>
      <c r="G20" s="94"/>
      <c r="H20" s="94"/>
      <c r="R20" s="121"/>
      <c r="X20" s="121"/>
      <c r="AD20" s="121"/>
      <c r="AJ20" s="121"/>
      <c r="AP20" s="88"/>
    </row>
    <row r="21" spans="1:42" ht="15" customHeight="1">
      <c r="A21" s="95"/>
      <c r="B21" s="94"/>
      <c r="C21" s="94"/>
      <c r="F21" s="89" t="s">
        <v>184</v>
      </c>
      <c r="H21" s="202">
        <f>Anno</f>
        <v>2001</v>
      </c>
      <c r="I21" s="202"/>
      <c r="J21" s="202"/>
      <c r="L21" s="89" t="s">
        <v>179</v>
      </c>
      <c r="R21" s="122"/>
      <c r="X21" s="121"/>
      <c r="AD21" s="121"/>
      <c r="AJ21" s="121"/>
      <c r="AP21" s="88"/>
    </row>
    <row r="22" spans="18:42" ht="4.5" customHeight="1">
      <c r="R22" s="121"/>
      <c r="X22" s="121"/>
      <c r="AD22" s="121"/>
      <c r="AJ22" s="121"/>
      <c r="AP22" s="88"/>
    </row>
    <row r="23" spans="1:42" ht="15" customHeight="1">
      <c r="A23" s="4" t="s">
        <v>9</v>
      </c>
      <c r="M23" s="194">
        <v>50</v>
      </c>
      <c r="N23" s="196"/>
      <c r="O23" s="197"/>
      <c r="P23" s="4" t="s">
        <v>10</v>
      </c>
      <c r="Q23" s="4"/>
      <c r="R23" s="123"/>
      <c r="S23" s="194">
        <v>50</v>
      </c>
      <c r="T23" s="196"/>
      <c r="U23" s="197"/>
      <c r="V23" s="4" t="s">
        <v>10</v>
      </c>
      <c r="W23" s="4"/>
      <c r="X23" s="123"/>
      <c r="Y23" s="194"/>
      <c r="Z23" s="196"/>
      <c r="AA23" s="197"/>
      <c r="AB23" s="4" t="s">
        <v>10</v>
      </c>
      <c r="AC23" s="4"/>
      <c r="AD23" s="123"/>
      <c r="AE23" s="194"/>
      <c r="AF23" s="196"/>
      <c r="AG23" s="197"/>
      <c r="AH23" s="4" t="s">
        <v>10</v>
      </c>
      <c r="AI23" s="4"/>
      <c r="AJ23" s="123"/>
      <c r="AK23" s="194"/>
      <c r="AL23" s="196"/>
      <c r="AM23" s="197"/>
      <c r="AN23" s="4" t="s">
        <v>10</v>
      </c>
      <c r="AP23" s="88"/>
    </row>
    <row r="24" spans="6:42" ht="4.5" customHeight="1">
      <c r="F24" s="11"/>
      <c r="R24" s="121"/>
      <c r="X24" s="121"/>
      <c r="AD24" s="121"/>
      <c r="AJ24" s="121"/>
      <c r="AP24" s="88"/>
    </row>
    <row r="25" spans="1:42" ht="15" customHeight="1">
      <c r="A25" s="4" t="s">
        <v>12</v>
      </c>
      <c r="I25" s="64"/>
      <c r="J25" s="64"/>
      <c r="K25" s="64"/>
      <c r="L25" s="64"/>
      <c r="M25" s="12">
        <v>2</v>
      </c>
      <c r="R25" s="121"/>
      <c r="S25" s="12"/>
      <c r="X25" s="121"/>
      <c r="Y25" s="12"/>
      <c r="AD25" s="121"/>
      <c r="AE25" s="12"/>
      <c r="AJ25" s="121"/>
      <c r="AK25" s="12"/>
      <c r="AP25" s="88"/>
    </row>
    <row r="26" spans="18:50" ht="4.5" customHeight="1">
      <c r="R26" s="121"/>
      <c r="X26" s="121"/>
      <c r="AD26" s="121"/>
      <c r="AJ26" s="121"/>
      <c r="AP26" s="88"/>
      <c r="AQ26" s="3"/>
      <c r="AR26" s="3"/>
      <c r="AS26" s="3"/>
      <c r="AT26" s="3"/>
      <c r="AU26" s="3"/>
      <c r="AV26" s="3"/>
      <c r="AW26" s="3"/>
      <c r="AX26" s="3"/>
    </row>
    <row r="27" spans="1:50" ht="15" customHeight="1">
      <c r="A27" s="4" t="s">
        <v>14</v>
      </c>
      <c r="M27" s="239">
        <f>200000/1936.27</f>
        <v>103.2913798178973</v>
      </c>
      <c r="N27" s="243"/>
      <c r="O27" s="243"/>
      <c r="P27" s="244"/>
      <c r="Q27" s="88"/>
      <c r="R27" s="121"/>
      <c r="S27" s="180"/>
      <c r="T27" s="181"/>
      <c r="U27" s="181"/>
      <c r="V27" s="181"/>
      <c r="W27" s="3"/>
      <c r="X27" s="121"/>
      <c r="Y27" s="180"/>
      <c r="Z27" s="181"/>
      <c r="AA27" s="181"/>
      <c r="AB27" s="181"/>
      <c r="AC27" s="3"/>
      <c r="AD27" s="121"/>
      <c r="AE27" s="180"/>
      <c r="AF27" s="181"/>
      <c r="AG27" s="181"/>
      <c r="AH27" s="181"/>
      <c r="AI27" s="3"/>
      <c r="AJ27" s="121"/>
      <c r="AK27" s="180"/>
      <c r="AL27" s="181"/>
      <c r="AM27" s="181"/>
      <c r="AN27" s="181"/>
      <c r="AP27" s="88"/>
      <c r="AQ27" s="3"/>
      <c r="AR27" s="198" t="s">
        <v>187</v>
      </c>
      <c r="AS27" s="198"/>
      <c r="AT27" s="198"/>
      <c r="AU27" s="198"/>
      <c r="AV27" s="198"/>
      <c r="AW27" s="3"/>
      <c r="AX27" s="3"/>
    </row>
    <row r="28" spans="1:50" s="71" customFormat="1" ht="2.25" customHeight="1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M28" s="151"/>
      <c r="N28" s="139"/>
      <c r="O28" s="13"/>
      <c r="P28" s="9"/>
      <c r="Q28" s="137"/>
      <c r="R28" s="139"/>
      <c r="S28" s="139"/>
      <c r="T28" s="139"/>
      <c r="U28" s="13"/>
      <c r="V28" s="13"/>
      <c r="W28" s="137"/>
      <c r="X28" s="138"/>
      <c r="Y28" s="9"/>
      <c r="Z28" s="139"/>
      <c r="AA28" s="13"/>
      <c r="AB28" s="13"/>
      <c r="AC28" s="137"/>
      <c r="AD28" s="138"/>
      <c r="AE28" s="9"/>
      <c r="AF28" s="139"/>
      <c r="AG28" s="13"/>
      <c r="AH28" s="13"/>
      <c r="AI28" s="137"/>
      <c r="AJ28" s="138"/>
      <c r="AK28" s="9"/>
      <c r="AL28" s="139"/>
      <c r="AM28" s="13"/>
      <c r="AN28" s="10"/>
      <c r="AO28" s="10"/>
      <c r="AP28" s="109"/>
      <c r="AQ28" s="9"/>
      <c r="AR28" s="198"/>
      <c r="AS28" s="198"/>
      <c r="AT28" s="198"/>
      <c r="AU28" s="198"/>
      <c r="AV28" s="198"/>
      <c r="AW28" s="72"/>
      <c r="AX28" s="72"/>
    </row>
    <row r="29" spans="1:48" ht="39.75" customHeight="1" hidden="1">
      <c r="A29" s="189" t="s">
        <v>11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1"/>
      <c r="L29" s="152"/>
      <c r="M29" s="133" t="s">
        <v>55</v>
      </c>
      <c r="N29" s="134" t="str">
        <f>IF(a_1_categ_all&lt;&gt;"",IF(FIND("/",a_1_categ_all)&gt;0,MID(a_1_categ_all,1,FIND("/",a_1_categ_all)-1),""),"")</f>
        <v>A</v>
      </c>
      <c r="O29" s="133" t="str">
        <f>IF(a_1_categ_all&lt;&gt;"",IF(FIND("/",a_1_categ_all)&gt;0,MID(a_1_categ_all,FIND("/",a_1_categ_all)+1,LEN(a_1_categ_all)),""),"")</f>
        <v>3 </v>
      </c>
      <c r="P29" s="153" t="s">
        <v>190</v>
      </c>
      <c r="Q29" s="154"/>
      <c r="R29" s="155"/>
      <c r="S29" s="133" t="s">
        <v>99</v>
      </c>
      <c r="T29" s="134" t="str">
        <f>IF(a_2_categ_all&lt;&gt;"",IF(FIND("/",a_2_categ_all)&gt;0,MID(a_2_categ_all,1,FIND("/",a_2_categ_all)-1),""),"")</f>
        <v>C</v>
      </c>
      <c r="U29" s="133" t="str">
        <f>IF(a_2_categ_all&lt;&gt;"",IF(FIND("/",a_2_categ_all)&gt;0,MID(a_2_categ_all,FIND("/",a_2_categ_all)+1,LEN(a_2_categ_all)),""),"")</f>
        <v>6 </v>
      </c>
      <c r="V29" s="153" t="s">
        <v>190</v>
      </c>
      <c r="W29" s="156"/>
      <c r="X29" s="157"/>
      <c r="Y29" s="133" t="s">
        <v>150</v>
      </c>
      <c r="Z29" s="134">
        <f>IF(a_3_categ_all&lt;&gt;"",IF(FIND("/",a_3_categ_all)&gt;0,MID(a_3_categ_all,1,FIND("/",a_3_categ_all)-1),""),"")</f>
      </c>
      <c r="AA29" s="133">
        <f>IF(a_3_categ_all&lt;&gt;"",IF(FIND("/",a_3_categ_all)&gt;0,MID(a_3_categ_all,FIND("/",a_3_categ_all)+1,LEN(a_3_categ_all)),""),"")</f>
      </c>
      <c r="AB29" s="153" t="s">
        <v>190</v>
      </c>
      <c r="AC29" s="156"/>
      <c r="AD29" s="106"/>
      <c r="AE29" s="133" t="s">
        <v>150</v>
      </c>
      <c r="AF29" s="134">
        <f>IF(a_4_categ_all&lt;&gt;"",IF(FIND("/",a_4_categ_all)&gt;0,MID(a_4_categ_all,1,FIND("/",a_4_categ_all)-1),""),"")</f>
      </c>
      <c r="AG29" s="133">
        <f>IF(a_4_categ_all&lt;&gt;"",IF(FIND("/",a_4_categ_all)&gt;0,MID(a_4_categ_all,FIND("/",a_4_categ_all)+1,LEN(a_4_categ_all)),""),"")</f>
      </c>
      <c r="AH29" s="153" t="s">
        <v>190</v>
      </c>
      <c r="AI29" s="156"/>
      <c r="AJ29" s="106"/>
      <c r="AK29" s="133" t="s">
        <v>150</v>
      </c>
      <c r="AL29" s="134">
        <f>IF(a_5_categ_all&lt;&gt;"",IF(FIND("/",a_5_categ_all)&gt;0,MID(a_5_categ_all,1,FIND("/",a_5_categ_all)-1),""),"")</f>
      </c>
      <c r="AM29" s="133">
        <f>IF(a_5_categ_all&lt;&gt;"",IF(FIND("/",a_5_categ_all)&gt;0,MID(a_5_categ_all,FIND("/",a_5_categ_all)+1,LEN(a_5_categ_all)),""),"")</f>
      </c>
      <c r="AN29" s="153" t="s">
        <v>190</v>
      </c>
      <c r="AO29" s="158"/>
      <c r="AP29" s="88"/>
      <c r="AR29" s="68"/>
      <c r="AS29" s="68"/>
      <c r="AT29" s="68"/>
      <c r="AU29" s="68"/>
      <c r="AV29" s="68"/>
    </row>
    <row r="30" spans="1:48" ht="39.75" customHeight="1" hidden="1">
      <c r="A30" s="183" t="s">
        <v>11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5"/>
      <c r="M30" s="135" t="s">
        <v>196</v>
      </c>
      <c r="N30" s="135" t="s">
        <v>196</v>
      </c>
      <c r="O30" s="135">
        <f>IF(a_1_mm_a&lt;&gt;"",IF((a_1_mm_a+0)&gt;6,IF((a_1_gg_da+0)&gt;15,(6-a_1_mm_da),(6-a_1_mm_da+1)),IF((a_1_gg_a+0)&gt;14,IF((a_1_gg_da+0)&gt;15,a_1_mm_a-a_1_mm_da,a_1_mm_a-a_1_mm_da+1),IF((a_1_gg_da+0)&gt;15,a_1_mm_a-a_1_mm_da-1,a_1_mm_a-a_1_mm_da))),"0")</f>
        <v>6</v>
      </c>
      <c r="P30" s="136" t="s">
        <v>191</v>
      </c>
      <c r="Q30" s="141"/>
      <c r="R30" s="140"/>
      <c r="S30" s="133" t="s">
        <v>196</v>
      </c>
      <c r="T30" s="134" t="s">
        <v>196</v>
      </c>
      <c r="U30" s="135">
        <f>IF(a_2_mm_a&lt;&gt;"",IF((a_2_mm_a+0)&gt;6,IF((a_2_gg_da+0)&gt;15,(6-a_2_mm_da),(6-a_2_mm_da+1)),IF((a_2_gg_a+0)&gt;14,IF((a_2_gg_da+0)&gt;15,a_2_mm_a-a_2_mm_da,a_2_mm_a-a_2_mm_da+1),IF((a_2_gg_da+0)&gt;15,a_2_mm_a-a_2_mm_da-1,a_2_mm_a-a_2_mm_da))),"0")</f>
        <v>6</v>
      </c>
      <c r="V30" s="136" t="s">
        <v>191</v>
      </c>
      <c r="W30" s="143"/>
      <c r="X30" s="142"/>
      <c r="Y30" s="133" t="s">
        <v>150</v>
      </c>
      <c r="Z30" s="134" t="s">
        <v>150</v>
      </c>
      <c r="AA30" s="135" t="str">
        <f>IF(a_3_mm_a&lt;&gt;"",IF((a_3_mm_a+0)&gt;6,IF((a_3_gg_da+0)&gt;15,(6-a_3_mm_da),(6-a_3_mm_da+1)),IF((a_3_gg_a+0)&gt;14,IF((a_3_gg_da+0)&gt;15,a_3_mm_a-a_3_mm_da,a_3_mm_a-a_3_mm_da+1),IF((a_3_gg_da+0)&gt;15,a_3_mm_a-a_3_mm_da-1,a_3_mm_a-a_3_mm_da))),"0")</f>
        <v>0</v>
      </c>
      <c r="AB30" s="136" t="s">
        <v>191</v>
      </c>
      <c r="AC30" s="143"/>
      <c r="AD30" s="9"/>
      <c r="AE30" s="133" t="s">
        <v>150</v>
      </c>
      <c r="AF30" s="134" t="s">
        <v>150</v>
      </c>
      <c r="AG30" s="135" t="str">
        <f>IF(a_4_mm_a&lt;&gt;"",IF((a_4_mm_a+0)&gt;6,IF((a_4_gg_da+0)&gt;15,(6-a_4_mm_da),(6-a_4_mm_da+1)),IF((a_4_gg_a+0)&gt;14,IF((a_4_gg_da+0)&gt;15,a_4_mm_a-a_4_mm_da,a_4_mm_a-a_4_mm_da+1),IF((a_4_gg_da+0)&gt;15,a_4_mm_a-a_4_mm_da-1,a_4_mm_a-a_4_mm_da))),"0")</f>
        <v>0</v>
      </c>
      <c r="AH30" s="136" t="s">
        <v>191</v>
      </c>
      <c r="AI30" s="143"/>
      <c r="AJ30" s="9"/>
      <c r="AK30" s="133" t="s">
        <v>150</v>
      </c>
      <c r="AL30" s="134" t="s">
        <v>150</v>
      </c>
      <c r="AM30" s="135" t="str">
        <f>IF(a_5_mm_a&lt;&gt;"",IF((a_5_mm_a+0)&gt;6,IF((a_5_gg_da+0)&gt;15,(6-a_5_mm_da),(6-a_5_mm_da+1)),IF((a_5_gg_a+0)&gt;14,IF((a_5_gg_da+0)&gt;15,a_5_mm_a-a_5_mm_da,a_5_mm_a-a_5_mm_da+1),IF((a_5_gg_da+0)&gt;15,a_5_mm_a-a_5_mm_da-1,a_5_mm_a-a_5_mm_da))),"0")</f>
        <v>0</v>
      </c>
      <c r="AN30" s="136" t="s">
        <v>191</v>
      </c>
      <c r="AO30" s="86"/>
      <c r="AP30" s="129"/>
      <c r="AR30" s="68"/>
      <c r="AS30" s="68"/>
      <c r="AT30" s="68"/>
      <c r="AU30" s="68"/>
      <c r="AV30" s="68"/>
    </row>
    <row r="31" spans="1:50" ht="39.75" customHeight="1" hidden="1">
      <c r="A31" s="183" t="s">
        <v>11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5"/>
      <c r="M31" s="135" t="s">
        <v>197</v>
      </c>
      <c r="N31" s="135" t="s">
        <v>198</v>
      </c>
      <c r="O31" s="135">
        <f>IF(a_1_mm_a&lt;&gt;"",IF(((a_1_mm_a+0)&lt;7),a_1_mesi_da,IF((a_1_gg_a+0)&gt;14,(a_1_mm_a+a_1_mesi_da-6),(a_1_mm_a+a_1_mesi_da-6-1))),"0")</f>
        <v>12</v>
      </c>
      <c r="P31" s="136" t="s">
        <v>192</v>
      </c>
      <c r="Q31" s="141"/>
      <c r="R31" s="140"/>
      <c r="S31" s="133" t="s">
        <v>197</v>
      </c>
      <c r="T31" s="134" t="s">
        <v>198</v>
      </c>
      <c r="U31" s="135">
        <f>IF(a_2_mm_a&lt;&gt;"",IF(((a_2_mm_a+0)&lt;7),a_2_mesi_da,IF((a_2_gg_a+0)&gt;14,(a_2_mm_a+a_2_mesi_da-6),(a_2_mm_a+a_2_mesi_da-6-1))),"0")</f>
        <v>12</v>
      </c>
      <c r="V31" s="136" t="s">
        <v>192</v>
      </c>
      <c r="W31" s="143"/>
      <c r="X31" s="142"/>
      <c r="Y31" s="133" t="s">
        <v>150</v>
      </c>
      <c r="Z31" s="134" t="s">
        <v>150</v>
      </c>
      <c r="AA31" s="135" t="str">
        <f>IF(a_3_mm_a&lt;&gt;"",IF(((a_3_mm_a+0)&lt;7),a_3_mesi_da,IF((a_3_gg_a+0)&gt;14,(a_3_mm_a+a_3_mesi_da-6),(a_3_mm_a+a_3_mesi_da-6-1))),"0")</f>
        <v>0</v>
      </c>
      <c r="AB31" s="136" t="s">
        <v>192</v>
      </c>
      <c r="AC31" s="143"/>
      <c r="AD31" s="9"/>
      <c r="AE31" s="133" t="s">
        <v>150</v>
      </c>
      <c r="AF31" s="134" t="s">
        <v>150</v>
      </c>
      <c r="AG31" s="135" t="str">
        <f>IF(a_4_mm_a&lt;&gt;"",IF(((a_4_mm_a+0)&lt;7),a_4_mesi_da,IF((a_4_gg_a+0)&gt;14,(a_4_mm_a+a_4_mesi_da-6),(a_4_mm_a+a_4_mesi_da-6-1))),"0")</f>
        <v>0</v>
      </c>
      <c r="AH31" s="136" t="s">
        <v>192</v>
      </c>
      <c r="AI31" s="143"/>
      <c r="AJ31" s="9"/>
      <c r="AK31" s="133" t="s">
        <v>150</v>
      </c>
      <c r="AL31" s="134" t="s">
        <v>150</v>
      </c>
      <c r="AM31" s="135" t="str">
        <f>IF(a_5_mm_a&lt;&gt;"",IF(((a_5_mm_a+0)&lt;7),a_5_mesi_da,IF((a_5_gg_a+0)&gt;14,(a_5_mm_a+a_5_mesi_da-6),(a_5_mm_a+a_5_mesi_da-6-1))),"0")</f>
        <v>0</v>
      </c>
      <c r="AN31" s="136" t="s">
        <v>192</v>
      </c>
      <c r="AO31" s="86"/>
      <c r="AP31" s="129"/>
      <c r="AR31" s="68"/>
      <c r="AS31" s="68"/>
      <c r="AT31" s="68"/>
      <c r="AU31" s="68"/>
      <c r="AV31" s="68"/>
      <c r="AX31" s="3"/>
    </row>
    <row r="32" spans="1:48" ht="60" customHeight="1" hidden="1">
      <c r="A32" s="183" t="s">
        <v>11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5"/>
      <c r="M32" s="133">
        <f>IF(a_1_categ_alfa="C",IF(a_1_categ_num="1 ",34,100),IF(a_1_categ_alfa="A",IF(a_1_categ_num=10,50,100),IF(a_1_categ_alfa="D",50,100)))</f>
        <v>100</v>
      </c>
      <c r="N32" s="133">
        <f>IF(a_1_rend&gt;0,1,0)</f>
        <v>1</v>
      </c>
      <c r="O32" s="133">
        <f>((a_1_rend*a_1_moltipl*1.05)*(a_1_perc/100)*(a_1_aliq/1000))</f>
        <v>160.24366436499045</v>
      </c>
      <c r="P32" s="136" t="s">
        <v>193</v>
      </c>
      <c r="Q32" s="141"/>
      <c r="R32" s="140"/>
      <c r="S32" s="133">
        <f>IF(a_2_categ_alfa="C",IF(a_2_categ_num="1 ",34,100),IF(a_2_categ_alfa="A",IF(a_2_categ_num=10,50,100),IF(a_2_categ_alfa="D",50,100)))</f>
        <v>100</v>
      </c>
      <c r="T32" s="133">
        <f>IF(a_2_rend&gt;0,1,0)</f>
        <v>1</v>
      </c>
      <c r="U32" s="133">
        <f>((a_2_rend*a_2_moltipl*1.05)*(a_2_perc/100)*(a_2_aliq/1000))</f>
        <v>24.40258848197824</v>
      </c>
      <c r="V32" s="136" t="s">
        <v>193</v>
      </c>
      <c r="W32" s="144"/>
      <c r="X32" s="9"/>
      <c r="Y32" s="133">
        <f>IF(a_3_categ_alfa="C",IF(a_3_categ_num="1 ",34,100),IF(a_3_categ_alfa="A",IF(a_3_categ_num=10,50,100),IF(a_3_categ_alfa="D",50,100)))</f>
        <v>100</v>
      </c>
      <c r="Z32" s="133">
        <f>IF(a_3_rend&gt;0,1,0)</f>
        <v>0</v>
      </c>
      <c r="AA32" s="133">
        <f>((a_3_rend*a_3_moltipl*1.05)*(a_3_perc/100)*(a_3_aliq/1000))</f>
        <v>0</v>
      </c>
      <c r="AB32" s="136" t="s">
        <v>193</v>
      </c>
      <c r="AC32" s="144"/>
      <c r="AD32" s="9"/>
      <c r="AE32" s="133">
        <f>IF(a_4_categ_alfa="C",IF(a_4_categ_num="1 ",34,100),IF(a_4_categ_alfa="A",IF(a_4_categ_num=10,50,100),IF(a_4_categ_alfa="D",50,100)))</f>
        <v>100</v>
      </c>
      <c r="AF32" s="133">
        <f>IF(a_4_rend&gt;0,1,0)</f>
        <v>0</v>
      </c>
      <c r="AG32" s="133">
        <f>((a_4_rend*a_4_moltipl*1.05)*(a_4_perc/100)*(a_4_aliq/1000))</f>
        <v>0</v>
      </c>
      <c r="AH32" s="136" t="s">
        <v>193</v>
      </c>
      <c r="AI32" s="144"/>
      <c r="AJ32" s="9"/>
      <c r="AK32" s="133">
        <f>IF(a_5_categ_alfa="C",IF(a_5_categ_num="1 ",34,100),IF(a_5_categ_alfa="A",IF(a_5_categ_num=10,50,100),IF(a_5_categ_alfa="D",50,100)))</f>
        <v>100</v>
      </c>
      <c r="AL32" s="133">
        <f>IF(a_5_rend&gt;0,1,0)</f>
        <v>0</v>
      </c>
      <c r="AM32" s="133">
        <f>((a_5_rend*a_5_moltipl*1.05)*(a_5_perc/100)*(a_5_aliq/1000))</f>
        <v>0</v>
      </c>
      <c r="AN32" s="136" t="s">
        <v>193</v>
      </c>
      <c r="AO32" s="10"/>
      <c r="AP32" s="88"/>
      <c r="AR32" s="68"/>
      <c r="AS32" s="68"/>
      <c r="AT32" s="68"/>
      <c r="AU32" s="68"/>
      <c r="AV32" s="68"/>
    </row>
    <row r="33" spans="1:50" ht="60" customHeight="1" hidden="1">
      <c r="A33" s="183" t="s">
        <v>11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5"/>
      <c r="L33" s="133">
        <f>IF(a_1_nr_propr&gt;0,(a_1_detr_tot/a_1_nr_propr),0)</f>
        <v>51.64568990894865</v>
      </c>
      <c r="M33" s="133">
        <f>IF(a_1_icidetr&gt;0,a_1_imposta-a_1_icidetr,a_1_imposta)</f>
        <v>108.59797445604181</v>
      </c>
      <c r="N33" s="133">
        <f>TRUNC((((a_1_icimenodetr)*(a_1_mesi_da/12))+0.5),0)</f>
        <v>54</v>
      </c>
      <c r="O33" s="133">
        <f>TRUNC((((a_1_icimenodetr)*(a_1_mesi_a/12))+0.5),0)-a_1_ici1sem</f>
        <v>55</v>
      </c>
      <c r="P33" s="133">
        <f>IF(a_1_icidetr&gt;0,a_1_ici1sem,0)</f>
        <v>54</v>
      </c>
      <c r="Q33" s="133">
        <f>IF(a_1_icidetr&gt;0,a_1_ici2sem,0)</f>
        <v>55</v>
      </c>
      <c r="R33" s="147"/>
      <c r="S33" s="133">
        <f>TRUNC((((a_2_imposta)*(a_2_mesi_da/12))+0.5),0)</f>
        <v>12</v>
      </c>
      <c r="T33" s="133">
        <f>TRUNC((((a_2_imposta)*(a_2_mesi_a/12))+0.5),0)-a_2_ici1sem</f>
        <v>12</v>
      </c>
      <c r="U33" s="150"/>
      <c r="V33" s="149"/>
      <c r="W33" s="148"/>
      <c r="X33" s="147"/>
      <c r="Y33" s="133">
        <f>TRUNC((((a_3_imposta)*(a_3_mesi_da/12))+0.5),0)</f>
        <v>0</v>
      </c>
      <c r="Z33" s="133">
        <f>TRUNC((((a_3_imposta)*(a_3_mesi_a/12))+0.5),0)-a_3_ici1sem</f>
        <v>0</v>
      </c>
      <c r="AA33" s="150"/>
      <c r="AB33" s="149"/>
      <c r="AC33" s="148"/>
      <c r="AD33" s="147"/>
      <c r="AE33" s="133">
        <f>TRUNC((((a_4_imposta)*(a_4_mesi_da/12))+0.5),0)</f>
        <v>0</v>
      </c>
      <c r="AF33" s="133">
        <f>TRUNC((((a_4_imposta)*(a_4_mesi_a/12))+0.5),0)-a_4_ici1sem</f>
        <v>0</v>
      </c>
      <c r="AH33" s="149"/>
      <c r="AI33" s="148"/>
      <c r="AJ33" s="147"/>
      <c r="AK33" s="133">
        <f>TRUNC((((a_5_imposta)*(a_5_mesi_da/12))+0.5),0)</f>
        <v>0</v>
      </c>
      <c r="AL33" s="133">
        <f>TRUNC((((a_5_imposta)*(a_5_mesi_a/12))+0.5),0)-a_5_ici1sem</f>
        <v>0</v>
      </c>
      <c r="AN33" s="149"/>
      <c r="AO33" s="148"/>
      <c r="AP33" s="145"/>
      <c r="AQ33" s="133">
        <f>IF(a_1_icidetr&gt;0,TRUNC(((a_1_icidetr*(a_1_mesi_da/12)*90%)+0.5),0),"")</f>
        <v>23</v>
      </c>
      <c r="AR33" s="133">
        <f>IF(a_1_icidetr&gt;0,TRUNC((a_1_icidetr*(a_1_mesi_a/12)+0.5),0)-a_9_detr1sem,"")</f>
        <v>29</v>
      </c>
      <c r="AS33" s="133">
        <f>IF(a_9_detr1sem&gt;0,IF(a_9_detr1sem&gt;a_1_ici1semprima,a_1_ici1semprima,a_9_detr1sem))</f>
        <v>23</v>
      </c>
      <c r="AT33" s="133">
        <f>IF(a_9_detr2sem&gt;0,IF(a_9_detr2sem&gt;a_1_ici2semprima,a_1_ici2semprima,a_9_detr2sem))</f>
        <v>29</v>
      </c>
      <c r="AU33" s="146"/>
      <c r="AV33" s="146"/>
      <c r="AW33" s="3"/>
      <c r="AX33" s="3"/>
    </row>
    <row r="34" spans="1:50" ht="2.2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59"/>
      <c r="M34" s="103"/>
      <c r="N34" s="104"/>
      <c r="O34" s="105"/>
      <c r="P34" s="106"/>
      <c r="Q34" s="106"/>
      <c r="R34" s="160"/>
      <c r="S34" s="104"/>
      <c r="T34" s="104"/>
      <c r="U34" s="105"/>
      <c r="V34" s="105"/>
      <c r="W34" s="105"/>
      <c r="X34" s="161"/>
      <c r="Y34" s="106"/>
      <c r="Z34" s="104"/>
      <c r="AA34" s="105"/>
      <c r="AB34" s="105"/>
      <c r="AC34" s="105"/>
      <c r="AD34" s="161"/>
      <c r="AE34" s="106"/>
      <c r="AF34" s="104"/>
      <c r="AG34" s="105"/>
      <c r="AH34" s="105"/>
      <c r="AI34" s="105"/>
      <c r="AJ34" s="161"/>
      <c r="AK34" s="106"/>
      <c r="AL34" s="104"/>
      <c r="AM34" s="105"/>
      <c r="AN34" s="106"/>
      <c r="AO34" s="162"/>
      <c r="AP34" s="109"/>
      <c r="AQ34" s="9"/>
      <c r="AR34" s="9"/>
      <c r="AS34" s="9"/>
      <c r="AT34" s="3"/>
      <c r="AU34" s="3"/>
      <c r="AV34" s="3"/>
      <c r="AW34" s="3"/>
      <c r="AX34" s="3"/>
    </row>
    <row r="35" spans="1:48" ht="15" customHeight="1">
      <c r="A35" s="11" t="s">
        <v>181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88"/>
      <c r="M35" s="186">
        <f>IF(a_1_rend&lt;&gt;"",(a_1_rend*1.05),"")</f>
        <v>640.9746574599617</v>
      </c>
      <c r="N35" s="187"/>
      <c r="O35" s="187"/>
      <c r="P35" s="188"/>
      <c r="Q35" s="10"/>
      <c r="R35" s="107"/>
      <c r="S35" s="186">
        <f>IF(a_2_rend&lt;&gt;"",(a_2_rend*1.05),"")</f>
        <v>97.61035392791295</v>
      </c>
      <c r="T35" s="187"/>
      <c r="U35" s="187"/>
      <c r="V35" s="188"/>
      <c r="W35" s="13"/>
      <c r="X35" s="108"/>
      <c r="Y35" s="186">
        <f>IF(a_3_rend&lt;&gt;"",(a_3_rend*1.05),"")</f>
      </c>
      <c r="Z35" s="187"/>
      <c r="AA35" s="187"/>
      <c r="AB35" s="188"/>
      <c r="AC35" s="13"/>
      <c r="AD35" s="108"/>
      <c r="AE35" s="186">
        <f>IF(a_4_rend&lt;&gt;"",(a_4_rend*1.05),"")</f>
      </c>
      <c r="AF35" s="187"/>
      <c r="AG35" s="187"/>
      <c r="AH35" s="188"/>
      <c r="AI35" s="13"/>
      <c r="AJ35" s="108"/>
      <c r="AK35" s="186">
        <f>IF(a_5_rend&lt;&gt;"",(a_5_rend*1.05),"")</f>
      </c>
      <c r="AL35" s="187"/>
      <c r="AM35" s="187"/>
      <c r="AN35" s="188"/>
      <c r="AO35" s="109"/>
      <c r="AP35" s="88"/>
      <c r="AQ35" s="125"/>
      <c r="AR35" s="177">
        <f>IF(SUM(a_1_rend_riv,a_2_rend_riv,a_3_rend_riv,a_4_rend_riv,a_5_rend_riv)&gt;0,SUM(a_1_rend_riv,a_2_rend_riv,a_3_rend_riv,a_4_rend_riv,a_5_rend_riv),"")</f>
        <v>738.5850113878746</v>
      </c>
      <c r="AS35" s="178"/>
      <c r="AT35" s="178"/>
      <c r="AU35" s="178"/>
      <c r="AV35" s="179"/>
    </row>
    <row r="36" spans="1:45" ht="2.25" customHeight="1">
      <c r="A36" s="4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88"/>
      <c r="M36" s="99"/>
      <c r="N36" s="99"/>
      <c r="O36" s="99"/>
      <c r="P36" s="99"/>
      <c r="Q36" s="10"/>
      <c r="R36" s="107"/>
      <c r="S36" s="99"/>
      <c r="T36" s="99"/>
      <c r="U36" s="99"/>
      <c r="V36" s="99"/>
      <c r="W36" s="13"/>
      <c r="X36" s="108"/>
      <c r="Y36" s="99"/>
      <c r="Z36" s="99"/>
      <c r="AA36" s="99"/>
      <c r="AB36" s="99"/>
      <c r="AC36" s="13"/>
      <c r="AD36" s="108"/>
      <c r="AE36" s="99"/>
      <c r="AF36" s="99"/>
      <c r="AG36" s="99"/>
      <c r="AH36" s="99"/>
      <c r="AI36" s="13"/>
      <c r="AJ36" s="108"/>
      <c r="AK36" s="99"/>
      <c r="AL36" s="99"/>
      <c r="AM36" s="99"/>
      <c r="AN36" s="99"/>
      <c r="AO36" s="10"/>
      <c r="AP36" s="109"/>
      <c r="AQ36" s="9"/>
      <c r="AR36" s="9"/>
      <c r="AS36" s="9"/>
    </row>
    <row r="37" spans="1:50" ht="1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74" t="s">
        <v>185</v>
      </c>
      <c r="M37" s="175"/>
      <c r="N37" s="175"/>
      <c r="O37" s="175"/>
      <c r="P37" s="175"/>
      <c r="Q37" s="176"/>
      <c r="R37" s="174" t="s">
        <v>182</v>
      </c>
      <c r="S37" s="175"/>
      <c r="T37" s="175"/>
      <c r="U37" s="175"/>
      <c r="V37" s="175"/>
      <c r="W37" s="176"/>
      <c r="X37" s="174" t="s">
        <v>183</v>
      </c>
      <c r="Y37" s="175"/>
      <c r="Z37" s="175"/>
      <c r="AA37" s="175"/>
      <c r="AB37" s="175"/>
      <c r="AC37" s="175"/>
      <c r="AD37" s="174" t="s">
        <v>13</v>
      </c>
      <c r="AE37" s="175"/>
      <c r="AF37" s="175"/>
      <c r="AG37" s="175"/>
      <c r="AH37" s="175"/>
      <c r="AI37" s="176"/>
      <c r="AJ37" s="174" t="s">
        <v>15</v>
      </c>
      <c r="AK37" s="175"/>
      <c r="AL37" s="175"/>
      <c r="AM37" s="175"/>
      <c r="AN37" s="175"/>
      <c r="AO37" s="176"/>
      <c r="AP37" s="113"/>
      <c r="AQ37" s="114"/>
      <c r="AR37" s="114"/>
      <c r="AS37" s="114"/>
      <c r="AT37" s="114"/>
      <c r="AU37" s="114"/>
      <c r="AV37" s="114"/>
      <c r="AW37" s="114"/>
      <c r="AX37" s="114"/>
    </row>
    <row r="38" spans="1:50" ht="2.2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88"/>
      <c r="R38" s="88"/>
      <c r="X38" s="88"/>
      <c r="Y38" s="3"/>
      <c r="Z38" s="3"/>
      <c r="AA38" s="3"/>
      <c r="AB38" s="3"/>
      <c r="AC38" s="3"/>
      <c r="AD38" s="88"/>
      <c r="AJ38" s="88"/>
      <c r="AM38" s="14"/>
      <c r="AN38" s="14"/>
      <c r="AO38" s="14"/>
      <c r="AP38" s="115"/>
      <c r="AQ38" s="116"/>
      <c r="AR38" s="117"/>
      <c r="AS38" s="117"/>
      <c r="AT38" s="117"/>
      <c r="AU38" s="117"/>
      <c r="AV38" s="117"/>
      <c r="AW38" s="117"/>
      <c r="AX38" s="117"/>
    </row>
    <row r="39" spans="1:50" ht="1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88"/>
      <c r="N39" s="172">
        <f>IF(SUM(a_1_flag,a_2_flag,a_3_flag,a_4_flag,a_5_flag)&gt;0,SUM(a_1_flag,a_2_flag,a_3_flag,a_4_flag,a_5_flag),"")</f>
        <v>2</v>
      </c>
      <c r="O39" s="173"/>
      <c r="R39" s="88"/>
      <c r="S39" s="177">
        <f>SUM(a_1_imposta,a_2_imposta,a_3_imposta,a_4_imposta,a_5_imposta)</f>
        <v>184.64625284696868</v>
      </c>
      <c r="T39" s="178"/>
      <c r="U39" s="178"/>
      <c r="V39" s="179"/>
      <c r="W39" s="15"/>
      <c r="X39" s="101"/>
      <c r="Y39" s="177">
        <f>a_9_ici_tot-a_1_icidetr</f>
        <v>133.00056293802004</v>
      </c>
      <c r="Z39" s="178"/>
      <c r="AA39" s="178"/>
      <c r="AB39" s="179"/>
      <c r="AC39" s="15"/>
      <c r="AD39" s="101"/>
      <c r="AE39" s="177">
        <f>SUM(a_1_ici1sem,a_2_ici1sem,a_3_ici1sem,a_4_ici1sem,a_5_ici1sem)</f>
        <v>66</v>
      </c>
      <c r="AF39" s="178"/>
      <c r="AG39" s="178"/>
      <c r="AH39" s="179"/>
      <c r="AI39" s="15"/>
      <c r="AJ39" s="101"/>
      <c r="AK39" s="177">
        <f>SUM(a_1_ici2sem,a_2_ici2sem,a_3_ici2sem,a_4_ici2sem,a_5_ici2sem)</f>
        <v>67</v>
      </c>
      <c r="AL39" s="178"/>
      <c r="AM39" s="178"/>
      <c r="AN39" s="179"/>
      <c r="AP39" s="118"/>
      <c r="AQ39" s="117"/>
      <c r="AR39" s="117"/>
      <c r="AS39" s="117"/>
      <c r="AT39" s="117"/>
      <c r="AU39" s="117"/>
      <c r="AV39" s="117"/>
      <c r="AW39" s="117"/>
      <c r="AX39" s="117"/>
    </row>
    <row r="40" spans="1:50" ht="2.2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28"/>
      <c r="M40" s="100"/>
      <c r="N40" s="100"/>
      <c r="O40" s="100"/>
      <c r="P40" s="100"/>
      <c r="Q40" s="100"/>
      <c r="R40" s="128"/>
      <c r="S40" s="100"/>
      <c r="T40" s="100"/>
      <c r="U40" s="100"/>
      <c r="V40" s="100"/>
      <c r="W40" s="100"/>
      <c r="X40" s="128"/>
      <c r="Y40" s="100"/>
      <c r="Z40" s="100"/>
      <c r="AA40" s="100"/>
      <c r="AB40" s="100"/>
      <c r="AC40" s="100"/>
      <c r="AD40" s="128"/>
      <c r="AE40" s="100"/>
      <c r="AF40" s="100"/>
      <c r="AG40" s="100"/>
      <c r="AH40" s="100"/>
      <c r="AI40" s="100"/>
      <c r="AJ40" s="128"/>
      <c r="AK40" s="100"/>
      <c r="AL40" s="100"/>
      <c r="AM40" s="100"/>
      <c r="AN40" s="100"/>
      <c r="AO40" s="100"/>
      <c r="AP40" s="119"/>
      <c r="AQ40" s="119"/>
      <c r="AR40" s="119"/>
      <c r="AS40" s="119"/>
      <c r="AT40" s="119"/>
      <c r="AU40" s="119"/>
      <c r="AV40" s="119"/>
      <c r="AW40" s="119"/>
      <c r="AX40" s="119"/>
    </row>
    <row r="42" ht="15" customHeight="1">
      <c r="A42" s="68"/>
    </row>
    <row r="43" spans="1:12" ht="15" customHeight="1">
      <c r="A43" s="131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</row>
  </sheetData>
  <mergeCells count="62">
    <mergeCell ref="O1:R1"/>
    <mergeCell ref="A2:N2"/>
    <mergeCell ref="H21:J21"/>
    <mergeCell ref="AR27:AV28"/>
    <mergeCell ref="AR13:AV13"/>
    <mergeCell ref="Y5:AV5"/>
    <mergeCell ref="Y6:AV6"/>
    <mergeCell ref="Y1:AV1"/>
    <mergeCell ref="Y2:AV2"/>
    <mergeCell ref="Y3:AV3"/>
    <mergeCell ref="Y4:AV4"/>
    <mergeCell ref="AR35:AV35"/>
    <mergeCell ref="Y7:AV7"/>
    <mergeCell ref="Y8:AV8"/>
    <mergeCell ref="Y9:AV9"/>
    <mergeCell ref="AK27:AN27"/>
    <mergeCell ref="AE11:AH11"/>
    <mergeCell ref="AK11:AN11"/>
    <mergeCell ref="Y11:AB11"/>
    <mergeCell ref="AR11:AV11"/>
    <mergeCell ref="AK39:AN39"/>
    <mergeCell ref="M11:P11"/>
    <mergeCell ref="S11:V11"/>
    <mergeCell ref="M23:O23"/>
    <mergeCell ref="S23:U23"/>
    <mergeCell ref="S13:V13"/>
    <mergeCell ref="M17:N17"/>
    <mergeCell ref="M15:N15"/>
    <mergeCell ref="M13:P13"/>
    <mergeCell ref="AK13:AN13"/>
    <mergeCell ref="AD37:AI37"/>
    <mergeCell ref="AK17:AL17"/>
    <mergeCell ref="Y39:AB39"/>
    <mergeCell ref="AK35:AN35"/>
    <mergeCell ref="Y35:AB35"/>
    <mergeCell ref="AE35:AH35"/>
    <mergeCell ref="AE17:AF17"/>
    <mergeCell ref="X37:AC37"/>
    <mergeCell ref="AE27:AH27"/>
    <mergeCell ref="AK23:AM23"/>
    <mergeCell ref="AJ37:AO37"/>
    <mergeCell ref="AE39:AH39"/>
    <mergeCell ref="S27:V27"/>
    <mergeCell ref="Y13:AB13"/>
    <mergeCell ref="AE13:AH13"/>
    <mergeCell ref="S17:T17"/>
    <mergeCell ref="Y17:Z17"/>
    <mergeCell ref="S35:V35"/>
    <mergeCell ref="Y23:AA23"/>
    <mergeCell ref="AE23:AG23"/>
    <mergeCell ref="A32:K32"/>
    <mergeCell ref="M35:P35"/>
    <mergeCell ref="A33:K33"/>
    <mergeCell ref="A29:K29"/>
    <mergeCell ref="A30:K30"/>
    <mergeCell ref="A31:K31"/>
    <mergeCell ref="N39:O39"/>
    <mergeCell ref="R37:W37"/>
    <mergeCell ref="S39:V39"/>
    <mergeCell ref="Y27:AB27"/>
    <mergeCell ref="L37:Q37"/>
    <mergeCell ref="M27:P27"/>
  </mergeCells>
  <dataValidations count="13">
    <dataValidation showInputMessage="1" showErrorMessage="1" promptTitle="CALCOLO I.C.I." prompt="Introdurre l'anno di 4 cifre" errorTitle="INSERIMENTO DATI" error="Anno errato" sqref="AW1:AY1"/>
    <dataValidation type="textLength" showInputMessage="1" showErrorMessage="1" promptTitle="CALCOLO I.C.I." prompt="Introdurre il cognome" errorTitle="DATI" error="Cognome non indicato" sqref="Y2:AY2">
      <formula1>2</formula1>
      <formula2>999</formula2>
    </dataValidation>
    <dataValidation type="textLength" showInputMessage="1" showErrorMessage="1" promptTitle="CALCOLO I.C.I." prompt="Indicare il Nome" errorTitle="INSERIMENTO DATI" error="Nome non indicato" sqref="Y3:AY3">
      <formula1>2</formula1>
      <formula2>999</formula2>
    </dataValidation>
    <dataValidation operator="equal" showInputMessage="1" showErrorMessage="1" promptTitle="CALCOLO I.C.I." prompt="Indicare il Codice Fiscale" errorTitle="INSERIMENTO DATI" error="Codice Fiscale errrato o non indicato" sqref="AW4:AY4"/>
    <dataValidation type="textLength" showInputMessage="1" showErrorMessage="1" promptTitle="CALCOLO I.C.I." prompt="Inserire l'indirizzo" errorTitle="INSERIMENTO DATI" error="Indirizzo non inserito" sqref="Y5:AY5">
      <formula1>2</formula1>
      <formula2>999</formula2>
    </dataValidation>
    <dataValidation type="textLength" showInputMessage="1" showErrorMessage="1" promptTitle="CALCOLO I.C.I." prompt="Introdurre il Comune" errorTitle="INSERIMENTO DATI" error="Comune non indicato" sqref="Y6:AY6">
      <formula1>2</formula1>
      <formula2>999</formula2>
    </dataValidation>
    <dataValidation type="textLength" operator="equal" showInputMessage="1" showErrorMessage="1" promptTitle="CACLOLO I.C.I." prompt="Indicare il CAP" errorTitle="INSERIMENTO DATI" error="CAP non indicato" sqref="AW7:AY7">
      <formula1>5</formula1>
    </dataValidation>
    <dataValidation type="textLength" showInputMessage="1" showErrorMessage="1" promptTitle="CALCOLO I.C.I." prompt="Introdurre il Comune di ubicazione degli immobili" errorTitle="INSERIMENTO DATI" error="Comune di ubicazione immobili non indicato" sqref="Y8:AY8">
      <formula1>2</formula1>
      <formula2>999</formula2>
    </dataValidation>
    <dataValidation type="textLength" operator="equal" showInputMessage="1" showErrorMessage="1" promptTitle="CALCOLO I.C.I." prompt="Inserire il CAP del comune di ubicazione degli immobili" errorTitle="INSERIMENTO DATI" error="CAP comune ubicazione immobili non indicato" sqref="AW9:AY9">
      <formula1>5</formula1>
    </dataValidation>
    <dataValidation type="whole" showInputMessage="1" showErrorMessage="1" promptTitle="CALCOLO I.C.I." prompt="Introdurre l'anno di 4 cifre" errorTitle="INSERIMENTO DATI" error="Anno errato" sqref="Y1:AV1">
      <formula1>1998</formula1>
      <formula2>2010</formula2>
    </dataValidation>
    <dataValidation type="textLength" operator="equal" showInputMessage="1" showErrorMessage="1" promptTitle="CACLOLO I.C.I." prompt="Indicare il CAP (5 cifre)" errorTitle="INSERIMENTO DATI" error="CAP non indicato" sqref="Y7:AV7">
      <formula1>5</formula1>
    </dataValidation>
    <dataValidation type="textLength" operator="equal" showInputMessage="1" showErrorMessage="1" promptTitle="CALCOLO I.C.I." prompt="Inserire il CAP del comune di ubicazione degli immobili (5 cifre)" errorTitle="INSERIMENTO DATI" error="CAP comune ubicazione immobili non indicato" sqref="Y9:AV9">
      <formula1>5</formula1>
    </dataValidation>
    <dataValidation type="textLength" operator="equal" showInputMessage="1" showErrorMessage="1" promptTitle="CALCOLO I.C.I." prompt="Indicare il Codice Fiscale" errorTitle="INSERIMENTO DATI" error="Codice Fiscale non indicato" sqref="Y4:AV4">
      <formula1>16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BG46"/>
  <sheetViews>
    <sheetView zoomScale="75" zoomScaleNormal="75" workbookViewId="0" topLeftCell="A1">
      <selection activeCell="J23" sqref="J23:L23"/>
    </sheetView>
  </sheetViews>
  <sheetFormatPr defaultColWidth="9.140625" defaultRowHeight="15" customHeight="1"/>
  <cols>
    <col min="1" max="16384" width="2.421875" style="1" customWidth="1"/>
  </cols>
  <sheetData>
    <row r="1" ht="15" customHeight="1">
      <c r="AA1" s="70" t="s">
        <v>1</v>
      </c>
    </row>
    <row r="2" ht="15" customHeight="1">
      <c r="V2" s="74" t="s">
        <v>156</v>
      </c>
    </row>
    <row r="3" spans="29:48" ht="15" customHeight="1">
      <c r="AC3" s="74" t="s">
        <v>157</v>
      </c>
      <c r="AF3" s="229">
        <f>IF('Calcolo ICI'!Y1="","",'Calcolo ICI'!Y1)</f>
        <v>2001</v>
      </c>
      <c r="AG3" s="229"/>
      <c r="AH3" s="229"/>
      <c r="AI3" s="229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</row>
    <row r="4" ht="15" customHeight="1" thickBot="1"/>
    <row r="5" spans="1:59" ht="4.5" customHeight="1" thickBo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6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8"/>
      <c r="AZ5" s="18"/>
      <c r="BA5" s="18"/>
      <c r="BB5" s="18"/>
      <c r="BC5" s="17"/>
      <c r="BD5" s="19"/>
      <c r="BE5" s="17"/>
      <c r="BF5" s="17"/>
      <c r="BG5" s="20"/>
    </row>
    <row r="6" spans="1:59" ht="15" customHeight="1" thickBot="1" thickTop="1">
      <c r="A6" s="21"/>
      <c r="B6" s="22" t="s">
        <v>16</v>
      </c>
      <c r="C6" s="3"/>
      <c r="D6" s="23"/>
      <c r="E6" s="23"/>
      <c r="F6" s="23"/>
      <c r="G6" s="23"/>
      <c r="H6" s="23"/>
      <c r="I6" s="23"/>
      <c r="J6" s="23"/>
      <c r="K6" s="23"/>
      <c r="L6" s="24" t="s">
        <v>17</v>
      </c>
      <c r="M6" s="3"/>
      <c r="N6" s="3"/>
      <c r="O6" s="3"/>
      <c r="P6" s="23"/>
      <c r="Q6" s="23"/>
      <c r="R6" s="23"/>
      <c r="S6" s="23"/>
      <c r="T6" s="23"/>
      <c r="U6" s="23"/>
      <c r="V6" s="215">
        <f>IF(INT([0]!a_9_acconto/1000+0.499)&lt;&gt;0,INT([0]!a_9_acconto/1000+0.499),"")</f>
      </c>
      <c r="W6" s="215"/>
      <c r="X6" s="215"/>
      <c r="Y6" s="226" t="s">
        <v>18</v>
      </c>
      <c r="Z6" s="226"/>
      <c r="AA6" s="3"/>
      <c r="AB6" s="21"/>
      <c r="AC6" s="22" t="s">
        <v>16</v>
      </c>
      <c r="AD6" s="25"/>
      <c r="AE6" s="25"/>
      <c r="AF6" s="25"/>
      <c r="AG6" s="25"/>
      <c r="AH6" s="25"/>
      <c r="AI6" s="25"/>
      <c r="AJ6" s="3"/>
      <c r="AK6" s="3"/>
      <c r="AL6" s="3"/>
      <c r="AM6" s="26" t="s">
        <v>19</v>
      </c>
      <c r="AN6" s="25"/>
      <c r="AO6" s="25"/>
      <c r="AP6" s="25"/>
      <c r="AQ6" s="25"/>
      <c r="AR6" s="25"/>
      <c r="AS6" s="25"/>
      <c r="AT6" s="3"/>
      <c r="AU6" s="3"/>
      <c r="AV6" s="79">
        <f>IF((LEN(V6)-7)&gt;0,(MID(V6,LEN(V6)-7,1)),"")</f>
      </c>
      <c r="AW6" s="80">
        <f>IF((LEN(V6)-6)&gt;0,(MID(V6,LEN(V6)-6,1)),"")</f>
      </c>
      <c r="AX6" s="81">
        <f>IF((LEN(V6)-5)&gt;0,(MID(V6,LEN(V6)-5,1)),"")</f>
      </c>
      <c r="AY6" s="79">
        <f>IF((LEN(V6)-4)&gt;0,(MID(V6,LEN(V6)-4,1)),"")</f>
      </c>
      <c r="AZ6" s="80">
        <f>IF((LEN(V6)-3)&gt;0,(MID(V6,LEN(V6)-3,1)),"")</f>
      </c>
      <c r="BA6" s="81">
        <f>IF((LEN(V6)-2)&gt;0,(MID(V6,LEN(V6)-2,1)),"")</f>
      </c>
      <c r="BB6" s="79">
        <f>IF((LEN(V6)-1)&gt;0,(MID(V6,LEN(V6)-1,1)),"")</f>
      </c>
      <c r="BC6" s="80">
        <f>IF((LEN(V6))&gt;0,(MID(V6,LEN(V6),1)),"")</f>
      </c>
      <c r="BD6" s="82">
        <v>0</v>
      </c>
      <c r="BE6" s="83">
        <v>0</v>
      </c>
      <c r="BF6" s="83">
        <v>0</v>
      </c>
      <c r="BG6" s="27"/>
    </row>
    <row r="7" spans="1:59" ht="15" customHeight="1" thickTop="1">
      <c r="A7" s="21"/>
      <c r="B7" s="28" t="s">
        <v>20</v>
      </c>
      <c r="C7" s="3"/>
      <c r="D7" s="220">
        <f>IF(V6&lt;&gt;"",Deconume(V6*1000),"")</f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3"/>
      <c r="AB7" s="21"/>
      <c r="AC7" s="29" t="s">
        <v>20</v>
      </c>
      <c r="AD7" s="3"/>
      <c r="AE7" s="221">
        <f>IF(D7&lt;&gt;"",D7,"")</f>
      </c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7"/>
    </row>
    <row r="8" spans="1:59" ht="15" customHeight="1">
      <c r="A8" s="21"/>
      <c r="B8" s="28" t="s">
        <v>201</v>
      </c>
      <c r="C8" s="3"/>
      <c r="D8" s="165"/>
      <c r="E8" s="165"/>
      <c r="F8" s="163"/>
      <c r="G8" s="163"/>
      <c r="H8" s="163"/>
      <c r="I8" s="163" t="s">
        <v>202</v>
      </c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 t="s">
        <v>32</v>
      </c>
      <c r="W8" s="163"/>
      <c r="X8" s="163"/>
      <c r="Y8" s="163"/>
      <c r="Z8" s="163"/>
      <c r="AA8" s="3"/>
      <c r="AB8" s="21"/>
      <c r="AC8" s="29" t="s">
        <v>201</v>
      </c>
      <c r="AD8" s="3"/>
      <c r="AE8" s="165"/>
      <c r="AF8" s="165"/>
      <c r="AG8" s="164"/>
      <c r="AH8" s="164"/>
      <c r="AI8" s="164"/>
      <c r="AJ8" s="166" t="s">
        <v>202</v>
      </c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4"/>
      <c r="AY8" s="164"/>
      <c r="AZ8" s="164"/>
      <c r="BA8" s="164"/>
      <c r="BB8" s="164"/>
      <c r="BC8" s="164"/>
      <c r="BD8" s="164"/>
      <c r="BE8" s="164"/>
      <c r="BF8" s="164"/>
      <c r="BG8" s="27"/>
    </row>
    <row r="9" spans="1:59" ht="15" customHeight="1">
      <c r="A9" s="21"/>
      <c r="B9" s="30" t="s">
        <v>158</v>
      </c>
      <c r="C9" s="3"/>
      <c r="D9" s="31"/>
      <c r="E9" s="31"/>
      <c r="F9" s="224" t="str">
        <f>IF(([0]!Cognome)&lt;&gt;" ",CONCATENATE(PROPER([0]!Cognome)," ",PROPER([0]!Nome)," - ",[0]!Cap," ",PROPER([0]!Comune)," - ",[0]!Indirizzo),"")</f>
        <v>  - 00010 Marcellina - Via Giuseppe Verdi Snc</v>
      </c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3"/>
      <c r="AB9" s="21"/>
      <c r="AC9" s="23" t="s">
        <v>161</v>
      </c>
      <c r="AD9" s="3"/>
      <c r="AE9" s="31"/>
      <c r="AF9" s="31"/>
      <c r="AG9" s="225" t="str">
        <f>F9</f>
        <v>  - 00010 Marcellina - Via Giuseppe Verdi Snc</v>
      </c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7"/>
    </row>
    <row r="10" spans="1:59" ht="15" customHeight="1" thickBot="1">
      <c r="A10" s="21"/>
      <c r="F10" s="77" t="s">
        <v>163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3"/>
      <c r="AB10" s="21"/>
      <c r="AC10" s="26" t="s">
        <v>162</v>
      </c>
      <c r="AD10" s="3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26" t="s">
        <v>159</v>
      </c>
      <c r="BC10" s="31"/>
      <c r="BD10" s="31"/>
      <c r="BE10" s="31"/>
      <c r="BF10" s="31"/>
      <c r="BG10" s="27"/>
    </row>
    <row r="11" spans="1:59" ht="15" customHeight="1" thickBot="1" thickTop="1">
      <c r="A11" s="21"/>
      <c r="B11" s="24" t="s">
        <v>160</v>
      </c>
      <c r="C11" s="3"/>
      <c r="D11" s="31"/>
      <c r="E11" s="31"/>
      <c r="F11" s="31"/>
      <c r="G11" s="31"/>
      <c r="H11" s="31"/>
      <c r="I11" s="31"/>
      <c r="J11" s="31"/>
      <c r="K11" s="31"/>
      <c r="L11" s="220" t="str">
        <f>PROPER([0]!Comune_Immobili)</f>
        <v>Marcellina</v>
      </c>
      <c r="M11" s="220"/>
      <c r="N11" s="220"/>
      <c r="O11" s="220"/>
      <c r="P11" s="220"/>
      <c r="Q11" s="220"/>
      <c r="R11" s="220"/>
      <c r="S11" s="220"/>
      <c r="T11" s="220"/>
      <c r="U11" s="75" t="s">
        <v>159</v>
      </c>
      <c r="V11" s="31"/>
      <c r="W11" s="220" t="str">
        <f>[0]!Cap_Immobili</f>
        <v>00010</v>
      </c>
      <c r="X11" s="220"/>
      <c r="Y11" s="220"/>
      <c r="Z11" s="220"/>
      <c r="AA11" s="3"/>
      <c r="AB11" s="21"/>
      <c r="AC11" s="79" t="str">
        <f>IF(LEN(L11)&gt;0,(MID(UPPER(L11),1,1)),"")</f>
        <v>M</v>
      </c>
      <c r="AD11" s="79" t="str">
        <f>IF(LEN(L11)&gt;1,(MID(UPPER(L11),2,1)),"")</f>
        <v>A</v>
      </c>
      <c r="AE11" s="79" t="str">
        <f>IF(LEN(L11)&gt;2,(MID(UPPER(L11),3,1)),"")</f>
        <v>R</v>
      </c>
      <c r="AF11" s="79" t="str">
        <f>IF(LEN(L11)&gt;3,(MID(UPPER(L11),4,1)),"")</f>
        <v>C</v>
      </c>
      <c r="AG11" s="79" t="str">
        <f>IF(LEN(L11)&gt;4,(MID(UPPER(L11),5,1)),"")</f>
        <v>E</v>
      </c>
      <c r="AH11" s="79" t="str">
        <f>IF(LEN(L11)&gt;5,(MID(UPPER(L11),6,1)),"")</f>
        <v>L</v>
      </c>
      <c r="AI11" s="79" t="str">
        <f>IF(LEN(L11)&gt;6,(MID(UPPER(L11),7,1)),"")</f>
        <v>L</v>
      </c>
      <c r="AJ11" s="79" t="str">
        <f>IF(LEN(L11)&gt;7,(MID(UPPER(L11),8,1)),"")</f>
        <v>I</v>
      </c>
      <c r="AK11" s="79" t="str">
        <f>IF(LEN(L11)&gt;8,(MID(UPPER(L11),9,1)),"")</f>
        <v>N</v>
      </c>
      <c r="AL11" s="79" t="str">
        <f>IF(LEN(L11)&gt;9,(MID(UPPER(L11),10,1)),"")</f>
        <v>A</v>
      </c>
      <c r="AM11" s="79">
        <f>IF(LEN(L11)&gt;10,(MID(UPPER(L11),11,1)),"")</f>
      </c>
      <c r="AN11" s="79">
        <f>IF(LEN(L11)&gt;11,(MID(UPPER(L11),12,1)),"")</f>
      </c>
      <c r="AO11" s="79">
        <f>IF(LEN(L11)&gt;12,(MID(UPPER(L11),13,1)),"")</f>
      </c>
      <c r="AP11" s="79">
        <f>IF(LEN(L11)&gt;13,(MID(UPPER(L11),14,1)),"")</f>
      </c>
      <c r="AQ11" s="79">
        <f>IF(LEN(L11)&gt;14,(MID(UPPER(L11),15,1)),"")</f>
      </c>
      <c r="AR11" s="79">
        <f>IF(LEN(L11)&gt;15,(MID(UPPER(L11),16,1)),"")</f>
      </c>
      <c r="AS11" s="79">
        <f>IF(LEN(L11)&gt;16,(MID(UPPER(L11),17,1)),"")</f>
      </c>
      <c r="AT11" s="79">
        <f>IF(LEN(L11)&gt;17,(MID(UPPER(L11),18,1)),"")</f>
      </c>
      <c r="AU11" s="79">
        <f>IF(LEN(L11)&gt;18,(MID(UPPER(L11),19,1)),"")</f>
      </c>
      <c r="AV11" s="79">
        <f>IF(LEN(L11)&gt;19,(MID(UPPER(L11),20,1)),"")</f>
      </c>
      <c r="AW11" s="79">
        <f>IF(LEN(L11)&gt;20,(MID(UPPER(L11),21,1)),"")</f>
      </c>
      <c r="AX11" s="79">
        <f>IF(LEN(L11)&gt;21,(MID(UPPER(L11),22,1)),"")</f>
      </c>
      <c r="AY11" s="79">
        <f>IF(LEN(L11)&gt;22,(MID(UPPER(L11),23,1)),"")</f>
      </c>
      <c r="AZ11" s="79">
        <f>IF(LEN(L11)&gt;23,(MID(UPPER(L11),24,1)),"")</f>
      </c>
      <c r="BA11" s="31"/>
      <c r="BB11" s="78" t="str">
        <f>IF(LEN(W11)&gt;0,MID(W11,1,1),"")</f>
        <v>0</v>
      </c>
      <c r="BC11" s="78" t="str">
        <f>IF(LEN(W11)&gt;1,MID(W11,2,1),"")</f>
        <v>0</v>
      </c>
      <c r="BD11" s="78" t="str">
        <f>IF(LEN(W11)&gt;2,MID(W11,3,1),"")</f>
        <v>0</v>
      </c>
      <c r="BE11" s="78" t="str">
        <f>IF(LEN(W11)&gt;3,MID(W11,4,1),"")</f>
        <v>1</v>
      </c>
      <c r="BF11" s="78" t="str">
        <f>IF(LEN(W11)&gt;4,MID(W11,5,1),"")</f>
        <v>0</v>
      </c>
      <c r="BG11" s="27"/>
    </row>
    <row r="12" spans="1:59" ht="15" customHeight="1" thickBot="1" thickTop="1">
      <c r="A12" s="21"/>
      <c r="B12" s="30" t="s">
        <v>21</v>
      </c>
      <c r="C12" s="3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"/>
      <c r="AB12" s="21"/>
      <c r="AC12" s="26" t="s">
        <v>22</v>
      </c>
      <c r="AD12" s="3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27"/>
    </row>
    <row r="13" spans="1:59" ht="15" customHeight="1" thickBot="1" thickTop="1">
      <c r="A13" s="21"/>
      <c r="B13" s="30" t="s">
        <v>23</v>
      </c>
      <c r="C13" s="3"/>
      <c r="D13" s="31"/>
      <c r="E13" s="31"/>
      <c r="F13" s="31"/>
      <c r="G13" s="32" t="str">
        <f>IF((LEN([0]!Codice_Fiscale)-15)&gt;0,(MID(UPPER([0]!Codice_Fiscale),LEN([0]!Codice_Fiscale)-15,1))," ")</f>
        <v>T</v>
      </c>
      <c r="H13" s="32" t="str">
        <f>IF((LEN([0]!Codice_Fiscale)-14)&gt;0,(MID(UPPER([0]!Codice_Fiscale),LEN([0]!Codice_Fiscale)-14,1))," ")</f>
        <v>C</v>
      </c>
      <c r="I13" s="33" t="str">
        <f>IF((LEN([0]!Codice_Fiscale)-13)&gt;0,(MID(UPPER([0]!Codice_Fiscale),LEN([0]!Codice_Fiscale)-13,1))," ")</f>
        <v>C</v>
      </c>
      <c r="J13" s="34" t="str">
        <f>IF((LEN([0]!Codice_Fiscale)-12)&gt;0,(MID(UPPER([0]!Codice_Fiscale),LEN([0]!Codice_Fiscale)-12,1))," ")</f>
        <v>A</v>
      </c>
      <c r="K13" s="32" t="str">
        <f>IF((LEN([0]!Codice_Fiscale)-11)&gt;0,(MID(UPPER([0]!Codice_Fiscale),LEN([0]!Codice_Fiscale)-11,1))," ")</f>
        <v>G</v>
      </c>
      <c r="L13" s="33" t="str">
        <f>IF((LEN([0]!Codice_Fiscale)-10)&gt;0,(MID(UPPER([0]!Codice_Fiscale),LEN([0]!Codice_Fiscale)-10,1))," ")</f>
        <v>L</v>
      </c>
      <c r="M13" s="34" t="str">
        <f>IF((LEN([0]!Codice_Fiscale)-9)&gt;0,(MID(UPPER([0]!Codice_Fiscale),LEN([0]!Codice_Fiscale)-9,1))," ")</f>
        <v>7</v>
      </c>
      <c r="N13" s="32" t="str">
        <f>IF((LEN([0]!Codice_Fiscale)-8)&gt;0,(MID(UPPER([0]!Codice_Fiscale),LEN([0]!Codice_Fiscale)-8,1))," ")</f>
        <v>9</v>
      </c>
      <c r="O13" s="32" t="str">
        <f>IF((LEN([0]!Codice_Fiscale)-7)&gt;0,(MID(UPPER([0]!Codice_Fiscale),LEN([0]!Codice_Fiscale)-7,1))," ")</f>
        <v>B</v>
      </c>
      <c r="P13" s="32" t="str">
        <f>IF((LEN([0]!Codice_Fiscale)-6)&gt;0,(MID(UPPER([0]!Codice_Fiscale),LEN([0]!Codice_Fiscale)-6,1))," ")</f>
        <v>1</v>
      </c>
      <c r="Q13" s="33" t="str">
        <f>IF((LEN([0]!Codice_Fiscale)-5)&gt;0,(MID(UPPER([0]!Codice_Fiscale),LEN([0]!Codice_Fiscale)-5,1))," ")</f>
        <v>7</v>
      </c>
      <c r="R13" s="34" t="str">
        <f>IF((LEN([0]!Codice_Fiscale)-4)&gt;0,(MID(UPPER([0]!Codice_Fiscale),LEN([0]!Codice_Fiscale)-4,1))," ")</f>
        <v>L</v>
      </c>
      <c r="S13" s="32" t="str">
        <f>IF((LEN([0]!Codice_Fiscale)-3)&gt;0,(MID(UPPER([0]!Codice_Fiscale),LEN([0]!Codice_Fiscale)-3,1))," ")</f>
        <v>1</v>
      </c>
      <c r="T13" s="32" t="str">
        <f>IF((LEN([0]!Codice_Fiscale)-2)&gt;0,(MID(UPPER([0]!Codice_Fiscale),LEN([0]!Codice_Fiscale)-2,1))," ")</f>
        <v>8</v>
      </c>
      <c r="U13" s="32" t="str">
        <f>IF((LEN([0]!Codice_Fiscale)-1)&gt;0,(MID(UPPER([0]!Codice_Fiscale),LEN([0]!Codice_Fiscale)-1,1))," ")</f>
        <v>2</v>
      </c>
      <c r="V13" s="32" t="str">
        <f>IF((LEN([0]!Codice_Fiscale))&gt;0,(MID(UPPER([0]!Codice_Fiscale),LEN([0]!Codice_Fiscale),1))," ")</f>
        <v>U</v>
      </c>
      <c r="W13" s="31"/>
      <c r="X13" s="31"/>
      <c r="Y13" s="31"/>
      <c r="Z13" s="31"/>
      <c r="AA13" s="3"/>
      <c r="AB13" s="21"/>
      <c r="AC13" s="79" t="str">
        <f aca="true" t="shared" si="0" ref="AC13:AR13">G13</f>
        <v>T</v>
      </c>
      <c r="AD13" s="79" t="str">
        <f t="shared" si="0"/>
        <v>C</v>
      </c>
      <c r="AE13" s="80" t="str">
        <f t="shared" si="0"/>
        <v>C</v>
      </c>
      <c r="AF13" s="81" t="str">
        <f t="shared" si="0"/>
        <v>A</v>
      </c>
      <c r="AG13" s="79" t="str">
        <f t="shared" si="0"/>
        <v>G</v>
      </c>
      <c r="AH13" s="80" t="str">
        <f t="shared" si="0"/>
        <v>L</v>
      </c>
      <c r="AI13" s="81" t="str">
        <f t="shared" si="0"/>
        <v>7</v>
      </c>
      <c r="AJ13" s="79" t="str">
        <f t="shared" si="0"/>
        <v>9</v>
      </c>
      <c r="AK13" s="79" t="str">
        <f t="shared" si="0"/>
        <v>B</v>
      </c>
      <c r="AL13" s="79" t="str">
        <f t="shared" si="0"/>
        <v>1</v>
      </c>
      <c r="AM13" s="80" t="str">
        <f t="shared" si="0"/>
        <v>7</v>
      </c>
      <c r="AN13" s="81" t="str">
        <f t="shared" si="0"/>
        <v>L</v>
      </c>
      <c r="AO13" s="79" t="str">
        <f t="shared" si="0"/>
        <v>1</v>
      </c>
      <c r="AP13" s="79" t="str">
        <f t="shared" si="0"/>
        <v>8</v>
      </c>
      <c r="AQ13" s="80" t="str">
        <f t="shared" si="0"/>
        <v>2</v>
      </c>
      <c r="AR13" s="81" t="str">
        <f t="shared" si="0"/>
        <v>U</v>
      </c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27"/>
    </row>
    <row r="14" spans="1:59" s="41" customFormat="1" ht="15" customHeight="1" thickBot="1" thickTop="1">
      <c r="A14" s="35"/>
      <c r="B14" s="30" t="s">
        <v>24</v>
      </c>
      <c r="C14" s="36"/>
      <c r="D14" s="37"/>
      <c r="E14" s="37"/>
      <c r="F14" s="37"/>
      <c r="G14" s="37"/>
      <c r="H14" s="37"/>
      <c r="I14" s="30" t="s">
        <v>25</v>
      </c>
      <c r="J14" s="36"/>
      <c r="K14" s="37"/>
      <c r="L14" s="37"/>
      <c r="M14" s="37"/>
      <c r="N14" s="37"/>
      <c r="O14" s="30" t="s">
        <v>26</v>
      </c>
      <c r="P14" s="36"/>
      <c r="Q14" s="30"/>
      <c r="R14" s="30"/>
      <c r="S14" s="30"/>
      <c r="T14" s="30"/>
      <c r="U14" s="30" t="s">
        <v>26</v>
      </c>
      <c r="V14" s="36"/>
      <c r="W14" s="37"/>
      <c r="X14" s="38"/>
      <c r="Y14" s="37"/>
      <c r="Z14" s="37"/>
      <c r="AA14" s="37"/>
      <c r="AB14" s="39"/>
      <c r="AC14" s="25"/>
      <c r="AD14" s="25"/>
      <c r="AE14" s="25"/>
      <c r="AF14" s="25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40"/>
    </row>
    <row r="15" spans="1:59" s="41" customFormat="1" ht="15" customHeight="1" thickBot="1" thickTop="1">
      <c r="A15" s="35"/>
      <c r="B15" s="30" t="s">
        <v>27</v>
      </c>
      <c r="C15" s="36"/>
      <c r="D15" s="37"/>
      <c r="E15" s="37"/>
      <c r="F15" s="222">
        <f>IF([0]!a_9_nr_fabbr=0,"",[0]!a_9_nr_fabbr)</f>
        <v>2</v>
      </c>
      <c r="G15" s="223"/>
      <c r="H15" s="36"/>
      <c r="I15" s="30" t="s">
        <v>28</v>
      </c>
      <c r="J15" s="36"/>
      <c r="K15" s="37"/>
      <c r="L15" s="222" t="str">
        <f>IF((LEN([0]!Anno)-1)&gt;0,(MID([0]!Anno,LEN([0]!Anno)-1,2)),"")</f>
        <v>01</v>
      </c>
      <c r="M15" s="222"/>
      <c r="N15" s="36"/>
      <c r="O15" s="30" t="s">
        <v>29</v>
      </c>
      <c r="P15" s="36"/>
      <c r="Q15" s="30"/>
      <c r="R15" s="30"/>
      <c r="S15" s="42" t="s">
        <v>30</v>
      </c>
      <c r="T15" s="36"/>
      <c r="U15" s="30" t="s">
        <v>31</v>
      </c>
      <c r="V15" s="36"/>
      <c r="W15" s="37"/>
      <c r="X15" s="38"/>
      <c r="Y15" s="42" t="s">
        <v>32</v>
      </c>
      <c r="Z15" s="36"/>
      <c r="AA15" s="37"/>
      <c r="AB15" s="39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36"/>
      <c r="AR15" s="212" t="s">
        <v>33</v>
      </c>
      <c r="AS15" s="205" t="s">
        <v>34</v>
      </c>
      <c r="AT15" s="205"/>
      <c r="AU15" s="205"/>
      <c r="AV15" s="206"/>
      <c r="AW15" s="80"/>
      <c r="AX15" s="81"/>
      <c r="AY15" s="79"/>
      <c r="AZ15" s="80"/>
      <c r="BA15" s="81"/>
      <c r="BB15" s="79"/>
      <c r="BC15" s="80"/>
      <c r="BD15" s="81"/>
      <c r="BE15" s="79"/>
      <c r="BF15" s="79"/>
      <c r="BG15" s="40"/>
    </row>
    <row r="16" spans="1:59" ht="15" customHeight="1" thickBot="1" thickTop="1">
      <c r="A16" s="21"/>
      <c r="B16" s="24" t="s">
        <v>33</v>
      </c>
      <c r="C16" s="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39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3"/>
      <c r="AR16" s="213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3"/>
      <c r="BF16" s="3"/>
      <c r="BG16" s="27"/>
    </row>
    <row r="17" spans="1:59" ht="15" customHeight="1" thickBot="1" thickTop="1">
      <c r="A17" s="21"/>
      <c r="B17" s="30" t="s">
        <v>35</v>
      </c>
      <c r="C17" s="3"/>
      <c r="D17" s="23"/>
      <c r="E17" s="23"/>
      <c r="F17" s="23"/>
      <c r="G17" s="23"/>
      <c r="H17" s="43" t="s">
        <v>36</v>
      </c>
      <c r="I17" s="215"/>
      <c r="J17" s="215"/>
      <c r="K17" s="215"/>
      <c r="L17" s="215"/>
      <c r="M17" s="3"/>
      <c r="N17" s="23"/>
      <c r="O17" s="23"/>
      <c r="P17" s="23"/>
      <c r="Q17" s="23"/>
      <c r="R17" s="3"/>
      <c r="S17" s="3"/>
      <c r="T17" s="3"/>
      <c r="U17" s="3"/>
      <c r="V17" s="23"/>
      <c r="W17" s="23"/>
      <c r="X17" s="23"/>
      <c r="Y17" s="23"/>
      <c r="Z17" s="23"/>
      <c r="AA17" s="23"/>
      <c r="AB17" s="21"/>
      <c r="AC17" s="216" t="s">
        <v>37</v>
      </c>
      <c r="AD17" s="217"/>
      <c r="AE17" s="79">
        <f>IF((LEN(F15)-1)&gt;0,(MID(F15,LEN(F15)-1,1)),"")</f>
      </c>
      <c r="AF17" s="79" t="str">
        <f>IF((LEN(F15))&gt;0,(MID(F15,LEN(F15),1)),"")</f>
        <v>2</v>
      </c>
      <c r="AG17" s="218" t="s">
        <v>38</v>
      </c>
      <c r="AH17" s="217"/>
      <c r="AI17" s="79" t="str">
        <f>IF((LEN(L15)-1)&gt;0,(MID(L15,LEN(L15)-1,1)),"")</f>
        <v>0</v>
      </c>
      <c r="AJ17" s="79" t="str">
        <f>IF((LEN(L15))&gt;0,(MID(L15,LEN(L15),1)),"")</f>
        <v>1</v>
      </c>
      <c r="AK17" s="218" t="s">
        <v>39</v>
      </c>
      <c r="AL17" s="217"/>
      <c r="AM17" s="79" t="str">
        <f>S15</f>
        <v>X</v>
      </c>
      <c r="AN17" s="218" t="s">
        <v>40</v>
      </c>
      <c r="AO17" s="217"/>
      <c r="AP17" s="79" t="str">
        <f>Y15</f>
        <v> </v>
      </c>
      <c r="AQ17" s="3"/>
      <c r="AR17" s="213"/>
      <c r="AS17" s="227" t="s">
        <v>41</v>
      </c>
      <c r="AT17" s="205"/>
      <c r="AU17" s="205"/>
      <c r="AV17" s="228"/>
      <c r="AW17" s="80"/>
      <c r="AX17" s="81"/>
      <c r="AY17" s="79"/>
      <c r="AZ17" s="80"/>
      <c r="BA17" s="81"/>
      <c r="BB17" s="79"/>
      <c r="BC17" s="80"/>
      <c r="BD17" s="81"/>
      <c r="BE17" s="79"/>
      <c r="BF17" s="79"/>
      <c r="BG17" s="27"/>
    </row>
    <row r="18" spans="1:59" ht="15" customHeight="1" thickBot="1" thickTop="1">
      <c r="A18" s="21"/>
      <c r="B18" s="30" t="s">
        <v>42</v>
      </c>
      <c r="C18" s="3"/>
      <c r="D18" s="23"/>
      <c r="E18" s="23"/>
      <c r="F18" s="23"/>
      <c r="G18" s="23"/>
      <c r="H18" s="43" t="s">
        <v>36</v>
      </c>
      <c r="I18" s="219"/>
      <c r="J18" s="219"/>
      <c r="K18" s="219"/>
      <c r="L18" s="219"/>
      <c r="M18" s="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39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3"/>
      <c r="AR18" s="213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3"/>
      <c r="BF18" s="3"/>
      <c r="BG18" s="27"/>
    </row>
    <row r="19" spans="1:59" ht="15" customHeight="1" thickBot="1" thickTop="1">
      <c r="A19" s="21"/>
      <c r="B19" s="30" t="s">
        <v>43</v>
      </c>
      <c r="C19" s="3"/>
      <c r="D19" s="23"/>
      <c r="E19" s="23"/>
      <c r="F19" s="23"/>
      <c r="G19" s="23"/>
      <c r="H19" s="43" t="s">
        <v>36</v>
      </c>
      <c r="I19" s="204">
        <f>IF(([0]!a_1_icidetr)&gt;0,[0]!a_1_ici1semprima,"")</f>
        <v>54</v>
      </c>
      <c r="J19" s="204"/>
      <c r="K19" s="204"/>
      <c r="L19" s="204"/>
      <c r="M19" s="3"/>
      <c r="N19" s="23"/>
      <c r="O19" s="23"/>
      <c r="P19" s="23"/>
      <c r="Q19" s="23"/>
      <c r="R19" s="23"/>
      <c r="S19" s="230"/>
      <c r="T19" s="230"/>
      <c r="U19" s="230"/>
      <c r="V19" s="230"/>
      <c r="W19" s="23"/>
      <c r="X19" s="23"/>
      <c r="Y19" s="23"/>
      <c r="Z19" s="23"/>
      <c r="AA19" s="23"/>
      <c r="AB19" s="39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213"/>
      <c r="AS19" s="205" t="s">
        <v>44</v>
      </c>
      <c r="AT19" s="205"/>
      <c r="AU19" s="205"/>
      <c r="AV19" s="206"/>
      <c r="AW19" s="80">
        <f>IF((LEN(I19)-9)&gt;0,(MID(I19,LEN(I19)-9,1)),"")</f>
      </c>
      <c r="AX19" s="81">
        <f>IF((LEN(I19)-8)&gt;0,(MID(I19,LEN(I19)-8,1)),"")</f>
      </c>
      <c r="AY19" s="79">
        <f>IF((LEN(I19)-7)&gt;0,(MID(I19,LEN(I19)-7,1)),"")</f>
      </c>
      <c r="AZ19" s="80">
        <f>IF((LEN(I19)-6)&gt;0,(MID(I19,LEN(I19)-6,1)),"")</f>
      </c>
      <c r="BA19" s="81">
        <f>IF((LEN(I19)-5)&gt;0,(MID(I19,LEN(I19)-5,1)),"")</f>
      </c>
      <c r="BB19" s="79">
        <f>IF((LEN(I19)-4)&gt;0,(MID(I19,LEN(I19)-4,1)),"")</f>
      </c>
      <c r="BC19" s="80">
        <f>IF((LEN(I19)-3)&gt;0,(MID(I19,LEN(I19)-3,1)),"")</f>
      </c>
      <c r="BD19" s="81">
        <f>IF((LEN(I19)-2)&gt;0,(MID(I19,LEN(I19)-2,1)),"")</f>
      </c>
      <c r="BE19" s="79" t="str">
        <f>IF((LEN(I19)-1)&gt;0,(MID(I19,LEN(I19)-1,1)),"")</f>
        <v>5</v>
      </c>
      <c r="BF19" s="79" t="str">
        <f>IF((LEN(I19))&gt;0,(MID(I19,LEN(I19),1)),"")</f>
        <v>4</v>
      </c>
      <c r="BG19" s="27"/>
    </row>
    <row r="20" spans="1:59" ht="15" customHeight="1" thickTop="1">
      <c r="A20" s="21"/>
      <c r="B20" s="30" t="s">
        <v>45</v>
      </c>
      <c r="C20" s="3"/>
      <c r="D20" s="23"/>
      <c r="E20" s="23"/>
      <c r="F20" s="23"/>
      <c r="G20" s="23"/>
      <c r="H20" s="43" t="s">
        <v>36</v>
      </c>
      <c r="I20" s="204">
        <f>IF(([0]!a_1_icidetr)&gt;0,SUM([0]!a_2_ici1sem,[0]!a_3_ici1sem,[0]!a_4_ici1sem,[0]!a_5_ici1sem),SUM([0]!a_1_ici1sem,[0]!a_2_ici1sem,[0]!a_3_ici1sem,[0]!a_4_ici1sem,[0]!a_5_ici1sem))</f>
        <v>12</v>
      </c>
      <c r="J20" s="204"/>
      <c r="K20" s="204"/>
      <c r="L20" s="204"/>
      <c r="M20" s="3"/>
      <c r="N20" s="23"/>
      <c r="O20" s="23"/>
      <c r="P20" s="23"/>
      <c r="Q20" s="23"/>
      <c r="R20" s="23"/>
      <c r="S20" s="3"/>
      <c r="T20" s="3"/>
      <c r="U20" s="3"/>
      <c r="V20" s="3"/>
      <c r="W20" s="23"/>
      <c r="X20" s="23"/>
      <c r="Y20" s="23"/>
      <c r="Z20" s="23"/>
      <c r="AA20" s="23"/>
      <c r="AB20" s="39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3"/>
      <c r="AR20" s="213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3"/>
      <c r="BF20" s="3"/>
      <c r="BG20" s="27"/>
    </row>
    <row r="21" spans="1:59" ht="4.5" customHeight="1" thickBot="1">
      <c r="A21" s="21"/>
      <c r="B21" s="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3"/>
      <c r="N21" s="23"/>
      <c r="O21" s="23"/>
      <c r="P21" s="23"/>
      <c r="Q21" s="23"/>
      <c r="R21" s="3"/>
      <c r="S21" s="3"/>
      <c r="T21" s="3"/>
      <c r="U21" s="3"/>
      <c r="V21" s="23"/>
      <c r="W21" s="23"/>
      <c r="X21" s="23"/>
      <c r="Y21" s="23"/>
      <c r="Z21" s="23"/>
      <c r="AA21" s="23"/>
      <c r="AB21" s="39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3"/>
      <c r="AR21" s="213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3"/>
      <c r="BF21" s="3"/>
      <c r="BG21" s="27"/>
    </row>
    <row r="22" spans="1:59" ht="15" customHeight="1" thickBot="1" thickTop="1">
      <c r="A22" s="21"/>
      <c r="B22" s="30" t="s">
        <v>46</v>
      </c>
      <c r="C22" s="3"/>
      <c r="D22" s="23"/>
      <c r="E22" s="23"/>
      <c r="F22" s="23"/>
      <c r="G22" s="23"/>
      <c r="H22" s="23"/>
      <c r="I22" s="44"/>
      <c r="J22" s="44"/>
      <c r="K22" s="44"/>
      <c r="L22" s="44"/>
      <c r="M22" s="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39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3"/>
      <c r="AR22" s="214"/>
      <c r="AS22" s="205" t="s">
        <v>47</v>
      </c>
      <c r="AT22" s="205"/>
      <c r="AU22" s="205"/>
      <c r="AV22" s="206"/>
      <c r="AW22" s="80">
        <f>IF((LEN(I20)-9)&gt;0,(MID(I20,LEN(I20)-9,1)),"")</f>
      </c>
      <c r="AX22" s="81">
        <f>IF((LEN(I20)-8)&gt;0,(MID(I20,LEN(I20)-8,1)),"")</f>
      </c>
      <c r="AY22" s="79">
        <f>IF((LEN(I20)-7)&gt;0,(MID(I20,LEN(I20)-7,1)),"")</f>
      </c>
      <c r="AZ22" s="80">
        <f>IF((LEN(I20)-6)&gt;0,(MID(I20,LEN(I20)-6,1)),"")</f>
      </c>
      <c r="BA22" s="81">
        <f>IF((LEN(I20)-5)&gt;0,(MID(I20,LEN(I20)-5,1)),"")</f>
      </c>
      <c r="BB22" s="79">
        <f>IF((LEN(I20)-4)&gt;0,(MID(I20,LEN(I20)-4,1)),"")</f>
      </c>
      <c r="BC22" s="80">
        <f>IF((LEN(I20)-3)&gt;0,(MID(I20,LEN(I20)-3,1)),"")</f>
      </c>
      <c r="BD22" s="81">
        <f>IF((LEN(I20)-2)&gt;0,(MID(I20,LEN(I20)-2,1)),"")</f>
      </c>
      <c r="BE22" s="79" t="str">
        <f>IF((LEN(I20)-1)&gt;0,(MID(I20,LEN(I20)-1,1)),"")</f>
        <v>1</v>
      </c>
      <c r="BF22" s="79" t="str">
        <f>IF((LEN(I20))&gt;0,(MID(I20,LEN(I20),1)),"")</f>
        <v>2</v>
      </c>
      <c r="BG22" s="27"/>
    </row>
    <row r="23" spans="1:59" ht="15" customHeight="1" thickBot="1" thickTop="1">
      <c r="A23" s="21"/>
      <c r="B23" s="30" t="s">
        <v>48</v>
      </c>
      <c r="C23" s="3"/>
      <c r="D23" s="23"/>
      <c r="E23" s="23"/>
      <c r="F23" s="23"/>
      <c r="G23" s="23"/>
      <c r="H23" s="23"/>
      <c r="I23" s="43" t="s">
        <v>36</v>
      </c>
      <c r="J23" s="207">
        <f>[0]!a_9_detr1semok</f>
        <v>23</v>
      </c>
      <c r="K23" s="207"/>
      <c r="L23" s="207"/>
      <c r="M23" s="3"/>
      <c r="N23" s="23"/>
      <c r="O23" s="23"/>
      <c r="P23" s="23"/>
      <c r="Q23" s="23"/>
      <c r="R23" s="23"/>
      <c r="S23" s="3"/>
      <c r="T23" s="3"/>
      <c r="U23" s="3"/>
      <c r="V23" s="23"/>
      <c r="W23" s="23"/>
      <c r="X23" s="23"/>
      <c r="Y23" s="23"/>
      <c r="Z23" s="23"/>
      <c r="AA23" s="23"/>
      <c r="AB23" s="39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3"/>
      <c r="AR23" s="3"/>
      <c r="AS23" s="80">
        <f>IF((LEN(J23)-7)&gt;0,(MID(J23,LEN(J23)-7,1)),"")</f>
      </c>
      <c r="AT23" s="81">
        <f>IF((LEN(J23)-5)&gt;0,(MID(J23,LEN(J23)-5,1)),"")</f>
      </c>
      <c r="AU23" s="79">
        <f>IF((LEN(J23)-4)&gt;0,(MID(J23,LEN(J23)-4,1)),"")</f>
      </c>
      <c r="AV23" s="80">
        <f>IF((LEN(J23)-3)&gt;0,(MID(J23,LEN(J23)-3,1)),"")</f>
      </c>
      <c r="AW23" s="81">
        <f>IF((LEN(J23)-2)&gt;0,(MID(J23,LEN(J23)-2,1)),"")</f>
      </c>
      <c r="AX23" s="79" t="str">
        <f>IF((LEN(J23)-1)&gt;0,(MID(J23,LEN(J23)-1,1)),"")</f>
        <v>2</v>
      </c>
      <c r="AY23" s="79" t="str">
        <f>IF((LEN(J23))&gt;0,(MID(J23,LEN(J23),1)),"")</f>
        <v>3</v>
      </c>
      <c r="BA23" s="208" t="s">
        <v>49</v>
      </c>
      <c r="BB23" s="208"/>
      <c r="BC23" s="208"/>
      <c r="BD23" s="208"/>
      <c r="BE23" s="208"/>
      <c r="BF23" s="209"/>
      <c r="BG23" s="27"/>
    </row>
    <row r="24" spans="1:59" s="3" customFormat="1" ht="4.5" customHeight="1" thickTop="1">
      <c r="A24" s="21"/>
      <c r="AB24" s="39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45"/>
      <c r="BA24" s="210"/>
      <c r="BB24" s="210"/>
      <c r="BC24" s="210"/>
      <c r="BD24" s="210"/>
      <c r="BE24" s="210"/>
      <c r="BF24" s="211"/>
      <c r="BG24" s="27"/>
    </row>
    <row r="25" spans="1:59" ht="4.5" customHeight="1" thickBo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8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7"/>
      <c r="BA25" s="50"/>
      <c r="BB25" s="50"/>
      <c r="BC25" s="50"/>
      <c r="BD25" s="50"/>
      <c r="BE25" s="50"/>
      <c r="BF25" s="50"/>
      <c r="BG25" s="51"/>
    </row>
    <row r="26" spans="1:59" ht="4.5" customHeight="1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BG26" s="3"/>
    </row>
    <row r="27" spans="1:59" ht="4.5" customHeight="1" thickBo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20"/>
      <c r="AB27" s="16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20"/>
    </row>
    <row r="28" spans="1:59" ht="15" customHeight="1" thickBot="1" thickTop="1">
      <c r="A28" s="21"/>
      <c r="B28" s="22" t="s">
        <v>16</v>
      </c>
      <c r="C28" s="3"/>
      <c r="D28" s="23"/>
      <c r="E28" s="23"/>
      <c r="F28" s="23"/>
      <c r="G28" s="23"/>
      <c r="H28" s="23"/>
      <c r="I28" s="23"/>
      <c r="J28" s="23"/>
      <c r="K28" s="23"/>
      <c r="L28" s="24" t="s">
        <v>17</v>
      </c>
      <c r="N28" s="3"/>
      <c r="O28" s="3"/>
      <c r="P28" s="23"/>
      <c r="Q28" s="23"/>
      <c r="R28" s="23"/>
      <c r="S28" s="23"/>
      <c r="T28" s="23"/>
      <c r="U28" s="23"/>
      <c r="V28" s="215">
        <f>IF(INT([0]!a_9_saldo/1000+0.499)&lt;&gt;0,INT([0]!a_9_saldo/1000+0.499),"")</f>
      </c>
      <c r="W28" s="215"/>
      <c r="X28" s="215"/>
      <c r="Y28" s="226" t="s">
        <v>18</v>
      </c>
      <c r="Z28" s="226"/>
      <c r="AA28" s="27"/>
      <c r="AB28" s="21"/>
      <c r="AC28" s="22" t="s">
        <v>16</v>
      </c>
      <c r="AD28" s="25"/>
      <c r="AE28" s="25"/>
      <c r="AF28" s="25"/>
      <c r="AG28" s="25"/>
      <c r="AH28" s="25"/>
      <c r="AI28" s="25"/>
      <c r="AJ28" s="25"/>
      <c r="AK28" s="3"/>
      <c r="AL28" s="3"/>
      <c r="AM28" s="26" t="s">
        <v>19</v>
      </c>
      <c r="AN28" s="25"/>
      <c r="AO28" s="25"/>
      <c r="AP28" s="25"/>
      <c r="AQ28" s="25"/>
      <c r="AR28" s="25"/>
      <c r="AS28" s="25"/>
      <c r="AT28" s="25"/>
      <c r="AU28" s="3"/>
      <c r="AV28" s="79">
        <f>IF((LEN(V28)-7)&gt;0,(MID(V28,LEN(V28)-7,1)),"")</f>
      </c>
      <c r="AW28" s="80">
        <f>IF((LEN(V28)-6)&gt;0,(MID(V28,LEN(V28)-6,1)),"")</f>
      </c>
      <c r="AX28" s="81">
        <f>IF((LEN(V28)-5)&gt;0,(MID(V28,LEN(V28)-5,1)),"")</f>
      </c>
      <c r="AY28" s="79">
        <f>IF((LEN(V28)-4)&gt;0,(MID(V28,LEN(V28)-4,1)),"")</f>
      </c>
      <c r="AZ28" s="80">
        <f>IF((LEN(V28)-3)&gt;0,(MID(V28,LEN(V28)-3,1)),"")</f>
      </c>
      <c r="BA28" s="81">
        <f>IF((LEN(V28)-2)&gt;0,(MID(V28,LEN(V28)-2,1)),"")</f>
      </c>
      <c r="BB28" s="79">
        <f>IF((LEN(V28)-1)&gt;0,(MID(V28,LEN(V28)-1,1)),"")</f>
      </c>
      <c r="BC28" s="80">
        <f>IF((LEN(V28))&gt;0,(MID(V28,LEN(V28),1)),"")</f>
      </c>
      <c r="BD28" s="82">
        <v>0</v>
      </c>
      <c r="BE28" s="83">
        <v>0</v>
      </c>
      <c r="BF28" s="83">
        <v>0</v>
      </c>
      <c r="BG28" s="27"/>
    </row>
    <row r="29" spans="1:59" ht="15" customHeight="1" thickTop="1">
      <c r="A29" s="21"/>
      <c r="B29" s="28" t="s">
        <v>20</v>
      </c>
      <c r="C29" s="3"/>
      <c r="D29" s="220">
        <f>IF(V28&lt;&gt;"",Deconume(V28*1000),"")</f>
      </c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7"/>
      <c r="AB29" s="21"/>
      <c r="AC29" s="29" t="s">
        <v>20</v>
      </c>
      <c r="AD29" s="25"/>
      <c r="AE29" s="221">
        <f>IF(D29&lt;&gt;"",D29,"")</f>
      </c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7"/>
    </row>
    <row r="30" spans="1:59" ht="15" customHeight="1">
      <c r="A30" s="21"/>
      <c r="B30" s="30" t="s">
        <v>158</v>
      </c>
      <c r="C30" s="3"/>
      <c r="D30" s="31"/>
      <c r="E30" s="31"/>
      <c r="F30" s="224" t="str">
        <f>F9</f>
        <v>  - 00010 Marcellina - Via Giuseppe Verdi Snc</v>
      </c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3"/>
      <c r="AB30" s="21"/>
      <c r="AC30" s="23" t="s">
        <v>161</v>
      </c>
      <c r="AD30" s="3"/>
      <c r="AE30" s="31"/>
      <c r="AF30" s="31"/>
      <c r="AG30" s="225" t="str">
        <f>F9</f>
        <v>  - 00010 Marcellina - Via Giuseppe Verdi Snc</v>
      </c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7"/>
    </row>
    <row r="31" spans="1:59" ht="15" customHeight="1" thickBot="1">
      <c r="A31" s="21"/>
      <c r="F31" s="77" t="s">
        <v>163</v>
      </c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3"/>
      <c r="AB31" s="21"/>
      <c r="AC31" s="26" t="s">
        <v>162</v>
      </c>
      <c r="AD31" s="3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26" t="s">
        <v>159</v>
      </c>
      <c r="BC31" s="31"/>
      <c r="BD31" s="31"/>
      <c r="BE31" s="31"/>
      <c r="BF31" s="31"/>
      <c r="BG31" s="27"/>
    </row>
    <row r="32" spans="1:59" ht="15" customHeight="1" thickBot="1" thickTop="1">
      <c r="A32" s="21"/>
      <c r="B32" s="24" t="s">
        <v>160</v>
      </c>
      <c r="C32" s="3"/>
      <c r="D32" s="31"/>
      <c r="E32" s="31"/>
      <c r="F32" s="31"/>
      <c r="G32" s="31"/>
      <c r="H32" s="31"/>
      <c r="I32" s="31"/>
      <c r="J32" s="31"/>
      <c r="K32" s="31"/>
      <c r="L32" s="220" t="str">
        <f>L11</f>
        <v>Marcellina</v>
      </c>
      <c r="M32" s="220"/>
      <c r="N32" s="220"/>
      <c r="O32" s="220"/>
      <c r="P32" s="220"/>
      <c r="Q32" s="220"/>
      <c r="R32" s="220"/>
      <c r="S32" s="220"/>
      <c r="T32" s="220"/>
      <c r="U32" s="75" t="s">
        <v>159</v>
      </c>
      <c r="V32" s="31"/>
      <c r="W32" s="220" t="str">
        <f>W11</f>
        <v>00010</v>
      </c>
      <c r="X32" s="220"/>
      <c r="Y32" s="220"/>
      <c r="Z32" s="220"/>
      <c r="AA32" s="3"/>
      <c r="AB32" s="21"/>
      <c r="AC32" s="79" t="str">
        <f>IF(LEN(L32)&gt;0,(MID(UPPER(L32),1,1)),"")</f>
        <v>M</v>
      </c>
      <c r="AD32" s="79" t="str">
        <f>IF(LEN(L32)&gt;1,(MID(UPPER(L32),2,1)),"")</f>
        <v>A</v>
      </c>
      <c r="AE32" s="79" t="str">
        <f>IF(LEN(L32)&gt;2,(MID(UPPER(L32),3,1)),"")</f>
        <v>R</v>
      </c>
      <c r="AF32" s="79" t="str">
        <f>IF(LEN(L32)&gt;3,(MID(UPPER(L32),4,1)),"")</f>
        <v>C</v>
      </c>
      <c r="AG32" s="79" t="str">
        <f>IF(LEN(L32)&gt;4,(MID(UPPER(L32),5,1)),"")</f>
        <v>E</v>
      </c>
      <c r="AH32" s="79" t="str">
        <f>IF(LEN(L32)&gt;5,(MID(UPPER(L32),6,1)),"")</f>
        <v>L</v>
      </c>
      <c r="AI32" s="79" t="str">
        <f>IF(LEN(L32)&gt;6,(MID(UPPER(L32),7,1)),"")</f>
        <v>L</v>
      </c>
      <c r="AJ32" s="79" t="str">
        <f>IF(LEN(L32)&gt;7,(MID(UPPER(L32),8,1)),"")</f>
        <v>I</v>
      </c>
      <c r="AK32" s="79" t="str">
        <f>IF(LEN(L32)&gt;8,(MID(UPPER(L32),9,1)),"")</f>
        <v>N</v>
      </c>
      <c r="AL32" s="79" t="str">
        <f>IF(LEN(L32)&gt;9,(MID(UPPER(L32),10,1)),"")</f>
        <v>A</v>
      </c>
      <c r="AM32" s="79">
        <f>IF(LEN(L32)&gt;10,(MID(UPPER(L32),11,1)),"")</f>
      </c>
      <c r="AN32" s="79">
        <f>IF(LEN(L32)&gt;11,(MID(UPPER(L32),12,1)),"")</f>
      </c>
      <c r="AO32" s="79">
        <f>IF(LEN(L32)&gt;12,(MID(UPPER(L32),13,1)),"")</f>
      </c>
      <c r="AP32" s="79">
        <f>IF(LEN(L32)&gt;13,(MID(UPPER(L32),14,1)),"")</f>
      </c>
      <c r="AQ32" s="79">
        <f>IF(LEN(L32)&gt;14,(MID(UPPER(L32),15,1)),"")</f>
      </c>
      <c r="AR32" s="79">
        <f>IF(LEN(L32)&gt;15,(MID(UPPER(L32),16,1)),"")</f>
      </c>
      <c r="AS32" s="79">
        <f>IF(LEN(L32)&gt;16,(MID(UPPER(L32),17,1)),"")</f>
      </c>
      <c r="AT32" s="79">
        <f>IF(LEN(L32)&gt;17,(MID(UPPER(L32),18,1)),"")</f>
      </c>
      <c r="AU32" s="79">
        <f>IF(LEN(L32)&gt;18,(MID(UPPER(L32),19,1)),"")</f>
      </c>
      <c r="AV32" s="79">
        <f>IF(LEN(L32)&gt;19,(MID(UPPER(L32),20,1)),"")</f>
      </c>
      <c r="AW32" s="79">
        <f>IF(LEN(L32)&gt;20,(MID(UPPER(L32),21,1)),"")</f>
      </c>
      <c r="AX32" s="79">
        <f>IF(LEN(L32)&gt;21,(MID(UPPER(L32),22,1)),"")</f>
      </c>
      <c r="AY32" s="79">
        <f>IF(LEN(L32)&gt;22,(MID(UPPER(L32),23,1)),"")</f>
      </c>
      <c r="AZ32" s="79">
        <f>IF(LEN(L32)&gt;23,(MID(UPPER(L32),24,1)),"")</f>
      </c>
      <c r="BA32" s="31"/>
      <c r="BB32" s="78" t="str">
        <f>IF(LEN(W32)&gt;0,MID(W32,1,1),"")</f>
        <v>0</v>
      </c>
      <c r="BC32" s="78" t="str">
        <f>IF(LEN(W32)&gt;1,MID(W32,2,1),"")</f>
        <v>0</v>
      </c>
      <c r="BD32" s="78" t="str">
        <f>IF(LEN(W32)&gt;2,MID(W32,3,1),"")</f>
        <v>0</v>
      </c>
      <c r="BE32" s="78" t="str">
        <f>IF(LEN(W32)&gt;3,MID(W32,4,1),"")</f>
        <v>1</v>
      </c>
      <c r="BF32" s="78" t="str">
        <f>IF(LEN(W32)&gt;4,MID(W32,5,1),"")</f>
        <v>0</v>
      </c>
      <c r="BG32" s="27"/>
    </row>
    <row r="33" spans="1:59" ht="15" customHeight="1" thickBot="1" thickTop="1">
      <c r="A33" s="21"/>
      <c r="B33" s="30" t="s">
        <v>21</v>
      </c>
      <c r="C33" s="3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"/>
      <c r="AB33" s="21"/>
      <c r="AC33" s="26" t="s">
        <v>22</v>
      </c>
      <c r="AD33" s="3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27"/>
    </row>
    <row r="34" spans="1:59" ht="15" customHeight="1" thickBot="1" thickTop="1">
      <c r="A34" s="21"/>
      <c r="B34" s="30" t="s">
        <v>23</v>
      </c>
      <c r="C34" s="3"/>
      <c r="D34" s="31"/>
      <c r="E34" s="31"/>
      <c r="F34" s="31"/>
      <c r="G34" s="32" t="str">
        <f>G13</f>
        <v>T</v>
      </c>
      <c r="H34" s="32" t="str">
        <f>H13</f>
        <v>C</v>
      </c>
      <c r="I34" s="32" t="str">
        <f aca="true" t="shared" si="1" ref="I34:V34">I13</f>
        <v>C</v>
      </c>
      <c r="J34" s="32" t="str">
        <f t="shared" si="1"/>
        <v>A</v>
      </c>
      <c r="K34" s="32" t="str">
        <f t="shared" si="1"/>
        <v>G</v>
      </c>
      <c r="L34" s="32" t="str">
        <f t="shared" si="1"/>
        <v>L</v>
      </c>
      <c r="M34" s="32" t="str">
        <f t="shared" si="1"/>
        <v>7</v>
      </c>
      <c r="N34" s="32" t="str">
        <f t="shared" si="1"/>
        <v>9</v>
      </c>
      <c r="O34" s="32" t="str">
        <f t="shared" si="1"/>
        <v>B</v>
      </c>
      <c r="P34" s="32" t="str">
        <f t="shared" si="1"/>
        <v>1</v>
      </c>
      <c r="Q34" s="32" t="str">
        <f t="shared" si="1"/>
        <v>7</v>
      </c>
      <c r="R34" s="32" t="str">
        <f t="shared" si="1"/>
        <v>L</v>
      </c>
      <c r="S34" s="32" t="str">
        <f t="shared" si="1"/>
        <v>1</v>
      </c>
      <c r="T34" s="32" t="str">
        <f t="shared" si="1"/>
        <v>8</v>
      </c>
      <c r="U34" s="32" t="str">
        <f t="shared" si="1"/>
        <v>2</v>
      </c>
      <c r="V34" s="32" t="str">
        <f t="shared" si="1"/>
        <v>U</v>
      </c>
      <c r="W34" s="31"/>
      <c r="X34" s="31"/>
      <c r="Y34" s="31"/>
      <c r="Z34" s="31"/>
      <c r="AA34" s="3"/>
      <c r="AB34" s="21"/>
      <c r="AC34" s="79" t="str">
        <f aca="true" t="shared" si="2" ref="AC34:AR34">G34</f>
        <v>T</v>
      </c>
      <c r="AD34" s="79" t="str">
        <f t="shared" si="2"/>
        <v>C</v>
      </c>
      <c r="AE34" s="80" t="str">
        <f t="shared" si="2"/>
        <v>C</v>
      </c>
      <c r="AF34" s="81" t="str">
        <f t="shared" si="2"/>
        <v>A</v>
      </c>
      <c r="AG34" s="79" t="str">
        <f t="shared" si="2"/>
        <v>G</v>
      </c>
      <c r="AH34" s="80" t="str">
        <f t="shared" si="2"/>
        <v>L</v>
      </c>
      <c r="AI34" s="81" t="str">
        <f t="shared" si="2"/>
        <v>7</v>
      </c>
      <c r="AJ34" s="79" t="str">
        <f t="shared" si="2"/>
        <v>9</v>
      </c>
      <c r="AK34" s="79" t="str">
        <f t="shared" si="2"/>
        <v>B</v>
      </c>
      <c r="AL34" s="79" t="str">
        <f t="shared" si="2"/>
        <v>1</v>
      </c>
      <c r="AM34" s="80" t="str">
        <f t="shared" si="2"/>
        <v>7</v>
      </c>
      <c r="AN34" s="81" t="str">
        <f t="shared" si="2"/>
        <v>L</v>
      </c>
      <c r="AO34" s="79" t="str">
        <f t="shared" si="2"/>
        <v>1</v>
      </c>
      <c r="AP34" s="79" t="str">
        <f t="shared" si="2"/>
        <v>8</v>
      </c>
      <c r="AQ34" s="80" t="str">
        <f t="shared" si="2"/>
        <v>2</v>
      </c>
      <c r="AR34" s="81" t="str">
        <f t="shared" si="2"/>
        <v>U</v>
      </c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27"/>
    </row>
    <row r="35" spans="1:59" s="41" customFormat="1" ht="15" customHeight="1" thickBot="1" thickTop="1">
      <c r="A35" s="35"/>
      <c r="B35" s="30" t="s">
        <v>24</v>
      </c>
      <c r="C35" s="36"/>
      <c r="D35" s="37"/>
      <c r="E35" s="37"/>
      <c r="F35" s="37"/>
      <c r="G35" s="37"/>
      <c r="H35" s="37"/>
      <c r="I35" s="30" t="s">
        <v>25</v>
      </c>
      <c r="J35" s="36"/>
      <c r="K35" s="37"/>
      <c r="L35" s="37"/>
      <c r="M35" s="37"/>
      <c r="N35" s="37"/>
      <c r="O35" s="30" t="s">
        <v>26</v>
      </c>
      <c r="P35" s="36"/>
      <c r="Q35" s="30"/>
      <c r="R35" s="30"/>
      <c r="S35" s="30"/>
      <c r="T35" s="37"/>
      <c r="U35" s="30" t="s">
        <v>26</v>
      </c>
      <c r="V35" s="36"/>
      <c r="W35" s="37"/>
      <c r="X35" s="38"/>
      <c r="Y35" s="37"/>
      <c r="Z35" s="37"/>
      <c r="AA35" s="52"/>
      <c r="AB35" s="3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30"/>
      <c r="BD35" s="30"/>
      <c r="BE35" s="30"/>
      <c r="BF35" s="36"/>
      <c r="BG35" s="40"/>
    </row>
    <row r="36" spans="1:59" s="41" customFormat="1" ht="15" customHeight="1" thickBot="1" thickTop="1">
      <c r="A36" s="35"/>
      <c r="B36" s="30" t="s">
        <v>27</v>
      </c>
      <c r="C36" s="36"/>
      <c r="D36" s="37"/>
      <c r="E36" s="37"/>
      <c r="F36" s="222">
        <f>F15</f>
        <v>2</v>
      </c>
      <c r="G36" s="223"/>
      <c r="H36" s="36"/>
      <c r="I36" s="30" t="s">
        <v>28</v>
      </c>
      <c r="J36" s="36"/>
      <c r="K36" s="37"/>
      <c r="L36" s="222" t="str">
        <f>L15</f>
        <v>01</v>
      </c>
      <c r="M36" s="222"/>
      <c r="N36" s="36"/>
      <c r="O36" s="30" t="s">
        <v>29</v>
      </c>
      <c r="P36" s="36"/>
      <c r="Q36" s="30"/>
      <c r="R36" s="30"/>
      <c r="S36" s="42" t="s">
        <v>32</v>
      </c>
      <c r="T36" s="36"/>
      <c r="U36" s="30" t="s">
        <v>31</v>
      </c>
      <c r="V36" s="36"/>
      <c r="W36" s="37"/>
      <c r="X36" s="38"/>
      <c r="Y36" s="42" t="s">
        <v>30</v>
      </c>
      <c r="Z36" s="36"/>
      <c r="AA36" s="52"/>
      <c r="AB36" s="3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12" t="s">
        <v>33</v>
      </c>
      <c r="AS36" s="205" t="s">
        <v>34</v>
      </c>
      <c r="AT36" s="205"/>
      <c r="AU36" s="205"/>
      <c r="AV36" s="206"/>
      <c r="AW36" s="80"/>
      <c r="AX36" s="81"/>
      <c r="AY36" s="79"/>
      <c r="AZ36" s="80"/>
      <c r="BA36" s="81"/>
      <c r="BB36" s="79"/>
      <c r="BC36" s="80"/>
      <c r="BD36" s="81"/>
      <c r="BE36" s="79"/>
      <c r="BF36" s="79"/>
      <c r="BG36" s="40"/>
    </row>
    <row r="37" spans="1:59" ht="15" customHeight="1" thickBot="1" thickTop="1">
      <c r="A37" s="21"/>
      <c r="B37" s="24" t="s">
        <v>33</v>
      </c>
      <c r="C37" s="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53"/>
      <c r="AB37" s="21"/>
      <c r="AC37" s="54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13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3"/>
      <c r="BG37" s="27"/>
    </row>
    <row r="38" spans="1:59" ht="15" customHeight="1" thickBot="1" thickTop="1">
      <c r="A38" s="21"/>
      <c r="B38" s="30" t="s">
        <v>35</v>
      </c>
      <c r="C38" s="3"/>
      <c r="D38" s="23"/>
      <c r="E38" s="23"/>
      <c r="F38" s="23"/>
      <c r="G38" s="23"/>
      <c r="H38" s="43" t="s">
        <v>36</v>
      </c>
      <c r="I38" s="215"/>
      <c r="J38" s="215"/>
      <c r="K38" s="215"/>
      <c r="L38" s="215"/>
      <c r="M38" s="3"/>
      <c r="N38" s="23"/>
      <c r="O38" s="23"/>
      <c r="P38" s="3"/>
      <c r="Q38" s="3"/>
      <c r="R38" s="3"/>
      <c r="S38" s="3"/>
      <c r="T38" s="23"/>
      <c r="U38" s="23"/>
      <c r="V38" s="23"/>
      <c r="W38" s="23"/>
      <c r="X38" s="23"/>
      <c r="Y38" s="23"/>
      <c r="Z38" s="23"/>
      <c r="AA38" s="53"/>
      <c r="AB38" s="21"/>
      <c r="AC38" s="216" t="s">
        <v>37</v>
      </c>
      <c r="AD38" s="217"/>
      <c r="AE38" s="79">
        <f>IF((LEN(F36)-1)&gt;0,(MID(F36,LEN(F36)-1,1)),"")</f>
      </c>
      <c r="AF38" s="79" t="str">
        <f>IF((LEN(F36))&gt;0,(MID(F36,LEN(F36),1)),"")</f>
        <v>2</v>
      </c>
      <c r="AG38" s="218" t="s">
        <v>38</v>
      </c>
      <c r="AH38" s="217"/>
      <c r="AI38" s="79" t="str">
        <f>IF((LEN(L36)-1)&gt;0,(MID(L36,LEN(L36)-1,1)),"")</f>
        <v>0</v>
      </c>
      <c r="AJ38" s="79" t="str">
        <f>IF((LEN(L36))&gt;0,(MID(L36,LEN(L36),1)),"")</f>
        <v>1</v>
      </c>
      <c r="AK38" s="218" t="s">
        <v>39</v>
      </c>
      <c r="AL38" s="217"/>
      <c r="AM38" s="79" t="str">
        <f>S36</f>
        <v> </v>
      </c>
      <c r="AN38" s="218" t="s">
        <v>40</v>
      </c>
      <c r="AO38" s="217"/>
      <c r="AP38" s="79" t="str">
        <f>Y36</f>
        <v>X</v>
      </c>
      <c r="AQ38" s="7"/>
      <c r="AR38" s="213"/>
      <c r="AS38" s="205" t="s">
        <v>41</v>
      </c>
      <c r="AT38" s="205"/>
      <c r="AU38" s="205"/>
      <c r="AV38" s="206"/>
      <c r="AW38" s="80"/>
      <c r="AX38" s="81"/>
      <c r="AY38" s="79"/>
      <c r="AZ38" s="80"/>
      <c r="BA38" s="81"/>
      <c r="BB38" s="79"/>
      <c r="BC38" s="80"/>
      <c r="BD38" s="81"/>
      <c r="BE38" s="79"/>
      <c r="BF38" s="79"/>
      <c r="BG38" s="27"/>
    </row>
    <row r="39" spans="1:59" ht="15" customHeight="1" thickBot="1" thickTop="1">
      <c r="A39" s="21"/>
      <c r="B39" s="30" t="s">
        <v>42</v>
      </c>
      <c r="C39" s="3"/>
      <c r="D39" s="23"/>
      <c r="E39" s="23"/>
      <c r="F39" s="23"/>
      <c r="G39" s="23"/>
      <c r="H39" s="43" t="s">
        <v>36</v>
      </c>
      <c r="I39" s="219"/>
      <c r="J39" s="219"/>
      <c r="K39" s="219"/>
      <c r="L39" s="219"/>
      <c r="M39" s="3"/>
      <c r="N39" s="23"/>
      <c r="O39" s="23"/>
      <c r="P39" s="23"/>
      <c r="Q39" s="3"/>
      <c r="R39" s="3"/>
      <c r="S39" s="23"/>
      <c r="T39" s="3"/>
      <c r="U39" s="3"/>
      <c r="V39" s="3"/>
      <c r="W39" s="3"/>
      <c r="X39" s="23"/>
      <c r="Y39" s="23"/>
      <c r="Z39" s="23"/>
      <c r="AA39" s="53"/>
      <c r="AB39" s="21"/>
      <c r="AC39" s="5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13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3"/>
      <c r="BG39" s="27"/>
    </row>
    <row r="40" spans="1:59" ht="15" customHeight="1" thickBot="1" thickTop="1">
      <c r="A40" s="21"/>
      <c r="B40" s="30" t="s">
        <v>43</v>
      </c>
      <c r="C40" s="3"/>
      <c r="D40" s="23"/>
      <c r="E40" s="23"/>
      <c r="F40" s="23"/>
      <c r="G40" s="23"/>
      <c r="H40" s="43" t="s">
        <v>36</v>
      </c>
      <c r="I40" s="204">
        <f>IF(([0]!a_1_icidetr)&gt;0,[0]!a_1_ici2semprima,"")</f>
        <v>55</v>
      </c>
      <c r="J40" s="204"/>
      <c r="K40" s="204"/>
      <c r="L40" s="204"/>
      <c r="M40" s="3"/>
      <c r="N40" s="23"/>
      <c r="O40" s="23"/>
      <c r="P40" s="23"/>
      <c r="Q40" s="3"/>
      <c r="R40" s="3"/>
      <c r="S40" s="3"/>
      <c r="T40" s="3"/>
      <c r="U40" s="3"/>
      <c r="V40" s="3"/>
      <c r="W40" s="3"/>
      <c r="X40" s="23"/>
      <c r="Y40" s="23"/>
      <c r="Z40" s="23"/>
      <c r="AA40" s="53"/>
      <c r="AB40" s="21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13"/>
      <c r="AS40" s="205" t="s">
        <v>44</v>
      </c>
      <c r="AT40" s="205"/>
      <c r="AU40" s="205"/>
      <c r="AV40" s="206"/>
      <c r="AW40" s="80">
        <f>IF((LEN(I40)-9)&gt;0,(MID(I40,LEN(I40)-9,1)),"")</f>
      </c>
      <c r="AX40" s="81">
        <f>IF((LEN(I40)-8)&gt;0,(MID(I40,LEN(I40)-8,1)),"")</f>
      </c>
      <c r="AY40" s="79">
        <f>IF((LEN(I40)-7)&gt;0,(MID(I40,LEN(I40)-7,1)),"")</f>
      </c>
      <c r="AZ40" s="80">
        <f>IF((LEN(I40)-6)&gt;0,(MID(I40,LEN(I40)-6,1)),"")</f>
      </c>
      <c r="BA40" s="81">
        <f>IF((LEN(I40)-5)&gt;0,(MID(I40,LEN(I40)-5,1)),"")</f>
      </c>
      <c r="BB40" s="79">
        <f>IF((LEN(I40)-4)&gt;0,(MID(I40,LEN(I40)-4,1)),"")</f>
      </c>
      <c r="BC40" s="80">
        <f>IF((LEN(I40)-3)&gt;0,(MID(I40,LEN(I40)-3,1)),"")</f>
      </c>
      <c r="BD40" s="81">
        <f>IF((LEN(I40)-2)&gt;0,(MID(I40,LEN(I40)-2,1)),"")</f>
      </c>
      <c r="BE40" s="79" t="str">
        <f>IF((LEN(I40)-1)&gt;0,(MID(I40,LEN(I40)-1,1)),"")</f>
        <v>5</v>
      </c>
      <c r="BF40" s="79" t="str">
        <f>IF((LEN(I40))&gt;0,(MID(I40,LEN(I40),1)),"")</f>
        <v>5</v>
      </c>
      <c r="BG40" s="27"/>
    </row>
    <row r="41" spans="1:59" ht="15" customHeight="1" thickTop="1">
      <c r="A41" s="21"/>
      <c r="B41" s="30" t="s">
        <v>45</v>
      </c>
      <c r="C41" s="3"/>
      <c r="D41" s="23"/>
      <c r="E41" s="23"/>
      <c r="F41" s="23"/>
      <c r="G41" s="23"/>
      <c r="H41" s="43" t="s">
        <v>36</v>
      </c>
      <c r="I41" s="204">
        <f>IF(([0]!a_1_icidetr)&gt;0,SUM([0]!a_2_ici2sem,[0]!a_3_ici2sem,[0]!a_4_ici2sem,[0]!a_5_ici2sem),SUM([0]!a_1_ici2sem,[0]!a_2_ici2sem,[0]!a_3_ici2sem,[0]!a_4_ici2sem,[0]!a_5_ici2sem))</f>
        <v>12</v>
      </c>
      <c r="J41" s="204"/>
      <c r="K41" s="204"/>
      <c r="L41" s="204"/>
      <c r="M41" s="3"/>
      <c r="N41" s="23"/>
      <c r="O41" s="3"/>
      <c r="P41" s="3"/>
      <c r="Q41" s="3"/>
      <c r="R41" s="3"/>
      <c r="S41" s="23"/>
      <c r="T41" s="3"/>
      <c r="U41" s="3"/>
      <c r="V41" s="23"/>
      <c r="W41" s="23"/>
      <c r="X41" s="23"/>
      <c r="Y41" s="23"/>
      <c r="Z41" s="23"/>
      <c r="AA41" s="53"/>
      <c r="AB41" s="21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13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3"/>
      <c r="BG41" s="27"/>
    </row>
    <row r="42" spans="1:59" ht="4.5" customHeight="1" thickBot="1">
      <c r="A42" s="21"/>
      <c r="B42" s="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53"/>
      <c r="AB42" s="21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13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3"/>
      <c r="BG42" s="27"/>
    </row>
    <row r="43" spans="1:59" ht="15" customHeight="1" thickBot="1" thickTop="1">
      <c r="A43" s="21"/>
      <c r="B43" s="30" t="s">
        <v>46</v>
      </c>
      <c r="C43" s="3"/>
      <c r="D43" s="23"/>
      <c r="E43" s="23"/>
      <c r="F43" s="23"/>
      <c r="G43" s="23"/>
      <c r="H43" s="23"/>
      <c r="I43" s="44"/>
      <c r="J43" s="44"/>
      <c r="K43" s="44"/>
      <c r="L43" s="44"/>
      <c r="M43" s="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53"/>
      <c r="AB43" s="21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14"/>
      <c r="AS43" s="205" t="s">
        <v>47</v>
      </c>
      <c r="AT43" s="205"/>
      <c r="AU43" s="205"/>
      <c r="AV43" s="206"/>
      <c r="AW43" s="80">
        <f>IF((LEN(I41)-9)&gt;0,(MID(I41,LEN(I41)-9,1)),"")</f>
      </c>
      <c r="AX43" s="81">
        <f>IF((LEN(I41)-8)&gt;0,(MID(I41,LEN(I41)-8,1)),"")</f>
      </c>
      <c r="AY43" s="79">
        <f>IF((LEN(I41)-7)&gt;0,(MID(I41,LEN(I41)-7,1)),"")</f>
      </c>
      <c r="AZ43" s="80">
        <f>IF((LEN(I41)-6)&gt;0,(MID(I41,LEN(I41)-6,1)),"")</f>
      </c>
      <c r="BA43" s="81">
        <f>IF((LEN(I41)-5)&gt;0,(MID(I41,LEN(I41)-5,1)),"")</f>
      </c>
      <c r="BB43" s="79">
        <f>IF((LEN(I41)-4)&gt;0,(MID(I41,LEN(I41)-4,1)),"")</f>
      </c>
      <c r="BC43" s="80">
        <f>IF((LEN(I41)-3)&gt;0,(MID(I41,LEN(I41)-3,1)),"")</f>
      </c>
      <c r="BD43" s="81">
        <f>IF((LEN(I41)-2)&gt;0,(MID(I41,LEN(I41)-2,1)),"")</f>
      </c>
      <c r="BE43" s="79" t="str">
        <f>IF((LEN(I41)-1)&gt;0,(MID(I41,LEN(I41)-1,1)),"")</f>
        <v>1</v>
      </c>
      <c r="BF43" s="79" t="str">
        <f>IF((LEN(I41))&gt;0,(MID(I41,LEN(I41),1)),"")</f>
        <v>2</v>
      </c>
      <c r="BG43" s="27"/>
    </row>
    <row r="44" spans="1:59" ht="15" customHeight="1" thickBot="1" thickTop="1">
      <c r="A44" s="21"/>
      <c r="B44" s="30" t="s">
        <v>48</v>
      </c>
      <c r="C44" s="3"/>
      <c r="D44" s="23"/>
      <c r="E44" s="23"/>
      <c r="F44" s="23"/>
      <c r="G44" s="23"/>
      <c r="H44" s="23"/>
      <c r="I44" s="43" t="s">
        <v>36</v>
      </c>
      <c r="J44" s="207">
        <f>[0]!a_9_detr2semok</f>
        <v>29</v>
      </c>
      <c r="K44" s="207"/>
      <c r="L44" s="207"/>
      <c r="M44" s="3"/>
      <c r="N44" s="23"/>
      <c r="O44" s="23"/>
      <c r="P44" s="23"/>
      <c r="Q44" s="23"/>
      <c r="R44" s="3"/>
      <c r="S44" s="3"/>
      <c r="T44" s="3"/>
      <c r="U44" s="23"/>
      <c r="V44" s="23"/>
      <c r="W44" s="23"/>
      <c r="X44" s="23"/>
      <c r="Y44" s="23"/>
      <c r="Z44" s="23"/>
      <c r="AA44" s="53"/>
      <c r="AB44" s="21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3"/>
      <c r="AS44" s="80">
        <f>IF((LEN(J44)-7)&gt;0,(MID(J44,LEN(J44)-7,1)),"")</f>
      </c>
      <c r="AT44" s="81">
        <f>IF((LEN(J44)-5)&gt;0,(MID(J44,LEN(J44)-5,1)),"")</f>
      </c>
      <c r="AU44" s="79">
        <f>IF((LEN(J44)-4)&gt;0,(MID(J44,LEN(J44)-4,1)),"")</f>
      </c>
      <c r="AV44" s="80">
        <f>IF((LEN(J44)-3)&gt;0,(MID(J44,LEN(J44)-3,1)),"")</f>
      </c>
      <c r="AW44" s="81">
        <f>IF((LEN(J44)-2)&gt;0,(MID(J44,LEN(J44)-2,1)),"")</f>
      </c>
      <c r="AX44" s="79" t="str">
        <f>IF((LEN(J44)-1)&gt;0,(MID(J44,LEN(J44)-1,1)),"")</f>
        <v>2</v>
      </c>
      <c r="AY44" s="79" t="str">
        <f>IF((LEN(J44))&gt;0,(MID(J44,LEN(J44),1)),"")</f>
        <v>9</v>
      </c>
      <c r="BA44" s="208" t="s">
        <v>49</v>
      </c>
      <c r="BB44" s="208"/>
      <c r="BC44" s="208"/>
      <c r="BD44" s="208"/>
      <c r="BE44" s="208"/>
      <c r="BF44" s="209"/>
      <c r="BG44" s="27"/>
    </row>
    <row r="45" spans="1:59" s="3" customFormat="1" ht="4.5" customHeight="1" thickTop="1">
      <c r="A45" s="21"/>
      <c r="AA45" s="27"/>
      <c r="AB45" s="21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45"/>
      <c r="BA45" s="210"/>
      <c r="BB45" s="210"/>
      <c r="BC45" s="210"/>
      <c r="BD45" s="210"/>
      <c r="BE45" s="210"/>
      <c r="BF45" s="211"/>
      <c r="BG45" s="27"/>
    </row>
    <row r="46" spans="1:59" ht="4.5" customHeight="1" thickBot="1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51"/>
      <c r="AB46" s="4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7"/>
      <c r="BA46" s="50"/>
      <c r="BB46" s="50"/>
      <c r="BC46" s="50"/>
      <c r="BD46" s="50"/>
      <c r="BE46" s="50"/>
      <c r="BF46" s="50"/>
      <c r="BG46" s="51"/>
    </row>
  </sheetData>
  <mergeCells count="52">
    <mergeCell ref="I20:L20"/>
    <mergeCell ref="AS19:AV19"/>
    <mergeCell ref="AS22:AV22"/>
    <mergeCell ref="I18:L18"/>
    <mergeCell ref="I19:L19"/>
    <mergeCell ref="S19:V19"/>
    <mergeCell ref="AF3:AI3"/>
    <mergeCell ref="F9:Z9"/>
    <mergeCell ref="W11:Z11"/>
    <mergeCell ref="L11:T11"/>
    <mergeCell ref="AG9:BF9"/>
    <mergeCell ref="V6:X6"/>
    <mergeCell ref="Y6:Z6"/>
    <mergeCell ref="D7:Z7"/>
    <mergeCell ref="AE7:BF7"/>
    <mergeCell ref="F15:G15"/>
    <mergeCell ref="L15:M15"/>
    <mergeCell ref="AR15:AR22"/>
    <mergeCell ref="AS15:AV15"/>
    <mergeCell ref="I17:L17"/>
    <mergeCell ref="AC17:AD17"/>
    <mergeCell ref="AG17:AH17"/>
    <mergeCell ref="AK17:AL17"/>
    <mergeCell ref="AN17:AO17"/>
    <mergeCell ref="AS17:AV17"/>
    <mergeCell ref="J23:L23"/>
    <mergeCell ref="BA23:BF24"/>
    <mergeCell ref="V28:X28"/>
    <mergeCell ref="Y28:Z28"/>
    <mergeCell ref="D29:Z29"/>
    <mergeCell ref="AE29:BF29"/>
    <mergeCell ref="F36:G36"/>
    <mergeCell ref="L36:M36"/>
    <mergeCell ref="F30:Z30"/>
    <mergeCell ref="AG30:BF30"/>
    <mergeCell ref="L32:T32"/>
    <mergeCell ref="W32:Z32"/>
    <mergeCell ref="AN38:AO38"/>
    <mergeCell ref="AS38:AV38"/>
    <mergeCell ref="I39:L39"/>
    <mergeCell ref="I40:L40"/>
    <mergeCell ref="AS40:AV40"/>
    <mergeCell ref="I41:L41"/>
    <mergeCell ref="AS43:AV43"/>
    <mergeCell ref="J44:L44"/>
    <mergeCell ref="BA44:BF45"/>
    <mergeCell ref="AR36:AR43"/>
    <mergeCell ref="AS36:AV36"/>
    <mergeCell ref="I38:L38"/>
    <mergeCell ref="AC38:AD38"/>
    <mergeCell ref="AG38:AH38"/>
    <mergeCell ref="AK38:AL3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B107"/>
  <sheetViews>
    <sheetView workbookViewId="0" topLeftCell="A103">
      <selection activeCell="A8" sqref="A8"/>
    </sheetView>
  </sheetViews>
  <sheetFormatPr defaultColWidth="9.140625" defaultRowHeight="12.75"/>
  <cols>
    <col min="1" max="1" width="9.140625" style="1" customWidth="1"/>
    <col min="2" max="2" width="77.421875" style="1" customWidth="1"/>
    <col min="3" max="16384" width="9.140625" style="1" customWidth="1"/>
  </cols>
  <sheetData>
    <row r="1" spans="1:2" ht="12.75">
      <c r="A1" s="59" t="s">
        <v>50</v>
      </c>
      <c r="B1" s="60"/>
    </row>
    <row r="3" spans="1:2" ht="12.75">
      <c r="A3" s="231" t="s">
        <v>145</v>
      </c>
      <c r="B3" s="232"/>
    </row>
    <row r="4" spans="1:2" ht="12.75">
      <c r="A4" s="233" t="s">
        <v>146</v>
      </c>
      <c r="B4" s="234"/>
    </row>
    <row r="5" spans="1:2" ht="12.75">
      <c r="A5" s="231" t="s">
        <v>147</v>
      </c>
      <c r="B5" s="232"/>
    </row>
    <row r="6" spans="1:2" ht="12.75">
      <c r="A6" s="231" t="s">
        <v>148</v>
      </c>
      <c r="B6" s="232"/>
    </row>
    <row r="7" spans="1:2" ht="12.75">
      <c r="A7" s="231" t="s">
        <v>149</v>
      </c>
      <c r="B7" s="232"/>
    </row>
    <row r="8" spans="1:2" ht="12.75">
      <c r="A8" s="56"/>
      <c r="B8" s="57"/>
    </row>
    <row r="9" spans="1:2" ht="12.75">
      <c r="A9" s="58"/>
      <c r="B9" s="62"/>
    </row>
    <row r="10" spans="1:2" ht="12.75">
      <c r="A10" s="58" t="s">
        <v>51</v>
      </c>
      <c r="B10" s="62" t="s">
        <v>52</v>
      </c>
    </row>
    <row r="11" spans="1:2" ht="12.75">
      <c r="A11" s="58" t="s">
        <v>53</v>
      </c>
      <c r="B11" s="62" t="s">
        <v>54</v>
      </c>
    </row>
    <row r="12" spans="1:2" ht="12.75">
      <c r="A12" s="58" t="s">
        <v>55</v>
      </c>
      <c r="B12" s="62" t="s">
        <v>56</v>
      </c>
    </row>
    <row r="13" spans="1:2" ht="12.75">
      <c r="A13" s="58" t="s">
        <v>57</v>
      </c>
      <c r="B13" s="62" t="s">
        <v>58</v>
      </c>
    </row>
    <row r="14" spans="1:2" ht="12.75">
      <c r="A14" s="58" t="s">
        <v>59</v>
      </c>
      <c r="B14" s="62" t="s">
        <v>60</v>
      </c>
    </row>
    <row r="15" spans="1:2" ht="12.75">
      <c r="A15" s="58" t="s">
        <v>61</v>
      </c>
      <c r="B15" s="62" t="s">
        <v>62</v>
      </c>
    </row>
    <row r="16" spans="1:2" ht="12.75">
      <c r="A16" s="58" t="s">
        <v>63</v>
      </c>
      <c r="B16" s="62" t="s">
        <v>64</v>
      </c>
    </row>
    <row r="17" spans="1:2" ht="12.75">
      <c r="A17" s="58" t="s">
        <v>65</v>
      </c>
      <c r="B17" s="62" t="s">
        <v>66</v>
      </c>
    </row>
    <row r="18" spans="1:2" ht="12.75">
      <c r="A18" s="58" t="s">
        <v>67</v>
      </c>
      <c r="B18" s="62" t="s">
        <v>68</v>
      </c>
    </row>
    <row r="19" spans="1:2" ht="12.75">
      <c r="A19" s="58" t="s">
        <v>69</v>
      </c>
      <c r="B19" s="62" t="s">
        <v>70</v>
      </c>
    </row>
    <row r="20" spans="1:2" ht="12.75">
      <c r="A20" s="58" t="s">
        <v>71</v>
      </c>
      <c r="B20" s="62" t="s">
        <v>72</v>
      </c>
    </row>
    <row r="21" spans="1:2" ht="12.75">
      <c r="A21" s="58" t="s">
        <v>73</v>
      </c>
      <c r="B21" s="62" t="s">
        <v>74</v>
      </c>
    </row>
    <row r="22" spans="1:2" ht="12.75">
      <c r="A22" s="58" t="s">
        <v>75</v>
      </c>
      <c r="B22" s="62" t="s">
        <v>76</v>
      </c>
    </row>
    <row r="23" spans="1:2" ht="12.75">
      <c r="A23" s="58" t="s">
        <v>77</v>
      </c>
      <c r="B23" s="62" t="s">
        <v>78</v>
      </c>
    </row>
    <row r="24" spans="1:2" ht="12.75">
      <c r="A24" s="58" t="s">
        <v>79</v>
      </c>
      <c r="B24" s="62" t="s">
        <v>80</v>
      </c>
    </row>
    <row r="25" spans="1:2" ht="12.75">
      <c r="A25" s="58" t="s">
        <v>81</v>
      </c>
      <c r="B25" s="62" t="s">
        <v>82</v>
      </c>
    </row>
    <row r="26" spans="1:2" ht="25.5">
      <c r="A26" s="58" t="s">
        <v>83</v>
      </c>
      <c r="B26" s="62" t="s">
        <v>84</v>
      </c>
    </row>
    <row r="27" spans="1:2" ht="12.75">
      <c r="A27" s="58" t="s">
        <v>85</v>
      </c>
      <c r="B27" s="62" t="s">
        <v>86</v>
      </c>
    </row>
    <row r="28" spans="1:2" ht="12.75">
      <c r="A28" s="58" t="s">
        <v>87</v>
      </c>
      <c r="B28" s="62" t="s">
        <v>88</v>
      </c>
    </row>
    <row r="29" spans="1:2" ht="12.75">
      <c r="A29" s="58" t="s">
        <v>89</v>
      </c>
      <c r="B29" s="62" t="s">
        <v>90</v>
      </c>
    </row>
    <row r="30" spans="1:2" ht="12.75">
      <c r="A30" s="58" t="s">
        <v>91</v>
      </c>
      <c r="B30" s="62" t="s">
        <v>92</v>
      </c>
    </row>
    <row r="31" spans="1:2" ht="12.75">
      <c r="A31" s="58" t="s">
        <v>93</v>
      </c>
      <c r="B31" s="62" t="s">
        <v>94</v>
      </c>
    </row>
    <row r="32" spans="1:2" ht="12.75">
      <c r="A32" s="58" t="s">
        <v>95</v>
      </c>
      <c r="B32" s="62" t="s">
        <v>96</v>
      </c>
    </row>
    <row r="33" spans="1:2" ht="12.75">
      <c r="A33" s="58" t="s">
        <v>97</v>
      </c>
      <c r="B33" s="62" t="s">
        <v>98</v>
      </c>
    </row>
    <row r="34" spans="1:2" ht="12.75">
      <c r="A34" s="58" t="s">
        <v>99</v>
      </c>
      <c r="B34" s="62" t="s">
        <v>100</v>
      </c>
    </row>
    <row r="35" spans="1:2" ht="12.75">
      <c r="A35" s="58" t="s">
        <v>101</v>
      </c>
      <c r="B35" s="62" t="s">
        <v>102</v>
      </c>
    </row>
    <row r="36" spans="1:2" ht="12.75">
      <c r="A36" s="58" t="s">
        <v>103</v>
      </c>
      <c r="B36" s="63" t="s">
        <v>104</v>
      </c>
    </row>
    <row r="37" spans="1:2" ht="12.75">
      <c r="A37" s="58" t="s">
        <v>105</v>
      </c>
      <c r="B37" s="62" t="s">
        <v>106</v>
      </c>
    </row>
    <row r="38" spans="1:2" ht="12.75">
      <c r="A38" s="58" t="s">
        <v>107</v>
      </c>
      <c r="B38" s="62" t="s">
        <v>108</v>
      </c>
    </row>
    <row r="39" spans="1:2" ht="12.75">
      <c r="A39" s="58" t="s">
        <v>109</v>
      </c>
      <c r="B39" s="62" t="s">
        <v>110</v>
      </c>
    </row>
    <row r="40" spans="1:2" ht="12.75">
      <c r="A40" s="58" t="s">
        <v>111</v>
      </c>
      <c r="B40" s="62" t="s">
        <v>112</v>
      </c>
    </row>
    <row r="41" spans="1:2" ht="12.75">
      <c r="A41" s="58" t="s">
        <v>113</v>
      </c>
      <c r="B41" s="62" t="s">
        <v>114</v>
      </c>
    </row>
    <row r="42" spans="1:2" ht="25.5">
      <c r="A42" s="58" t="s">
        <v>115</v>
      </c>
      <c r="B42" s="62" t="s">
        <v>116</v>
      </c>
    </row>
    <row r="43" spans="1:2" ht="25.5">
      <c r="A43" s="58" t="s">
        <v>117</v>
      </c>
      <c r="B43" s="62" t="s">
        <v>118</v>
      </c>
    </row>
    <row r="44" spans="1:2" ht="25.5">
      <c r="A44" s="58" t="s">
        <v>119</v>
      </c>
      <c r="B44" s="62" t="s">
        <v>120</v>
      </c>
    </row>
    <row r="45" spans="1:2" ht="12.75">
      <c r="A45" s="58" t="s">
        <v>121</v>
      </c>
      <c r="B45" s="62" t="s">
        <v>122</v>
      </c>
    </row>
    <row r="46" spans="1:2" ht="12.75">
      <c r="A46" s="58" t="s">
        <v>123</v>
      </c>
      <c r="B46" s="62" t="s">
        <v>124</v>
      </c>
    </row>
    <row r="47" spans="1:2" ht="12.75">
      <c r="A47" s="58" t="s">
        <v>125</v>
      </c>
      <c r="B47" s="62" t="s">
        <v>126</v>
      </c>
    </row>
    <row r="48" spans="1:2" ht="12.75">
      <c r="A48" s="58" t="s">
        <v>127</v>
      </c>
      <c r="B48" s="62" t="s">
        <v>128</v>
      </c>
    </row>
    <row r="49" spans="1:2" ht="12.75">
      <c r="A49" s="58" t="s">
        <v>129</v>
      </c>
      <c r="B49" s="62" t="s">
        <v>130</v>
      </c>
    </row>
    <row r="50" spans="1:2" ht="38.25">
      <c r="A50" s="58" t="s">
        <v>131</v>
      </c>
      <c r="B50" s="62" t="s">
        <v>132</v>
      </c>
    </row>
    <row r="51" spans="1:2" ht="12.75">
      <c r="A51" s="58" t="s">
        <v>133</v>
      </c>
      <c r="B51" s="62" t="s">
        <v>134</v>
      </c>
    </row>
    <row r="52" spans="1:2" ht="12.75">
      <c r="A52" s="58" t="s">
        <v>135</v>
      </c>
      <c r="B52" s="62" t="s">
        <v>136</v>
      </c>
    </row>
    <row r="53" spans="1:2" ht="12.75">
      <c r="A53" s="58" t="s">
        <v>137</v>
      </c>
      <c r="B53" s="62" t="s">
        <v>138</v>
      </c>
    </row>
    <row r="54" spans="1:2" ht="12.75">
      <c r="A54" s="58" t="s">
        <v>139</v>
      </c>
      <c r="B54" s="62" t="s">
        <v>140</v>
      </c>
    </row>
    <row r="55" spans="1:2" ht="12.75">
      <c r="A55" s="58" t="s">
        <v>141</v>
      </c>
      <c r="B55" s="62" t="s">
        <v>142</v>
      </c>
    </row>
    <row r="56" spans="1:2" ht="12.75">
      <c r="A56" s="58" t="s">
        <v>143</v>
      </c>
      <c r="B56" s="62" t="s">
        <v>144</v>
      </c>
    </row>
    <row r="58" spans="1:2" ht="12.75">
      <c r="A58" s="59" t="s">
        <v>164</v>
      </c>
      <c r="B58" s="60"/>
    </row>
    <row r="60" ht="12.75">
      <c r="A60" s="90"/>
    </row>
    <row r="61" ht="12.75">
      <c r="A61" s="90">
        <v>1</v>
      </c>
    </row>
    <row r="62" ht="12.75">
      <c r="A62" s="90">
        <v>2</v>
      </c>
    </row>
    <row r="63" ht="12.75">
      <c r="A63" s="90">
        <v>3</v>
      </c>
    </row>
    <row r="64" ht="12.75">
      <c r="A64" s="90">
        <v>4</v>
      </c>
    </row>
    <row r="65" ht="12.75">
      <c r="A65" s="90">
        <v>5</v>
      </c>
    </row>
    <row r="66" ht="12.75">
      <c r="A66" s="90">
        <v>6</v>
      </c>
    </row>
    <row r="67" ht="12.75">
      <c r="A67" s="90">
        <v>7</v>
      </c>
    </row>
    <row r="68" ht="12.75">
      <c r="A68" s="90">
        <v>8</v>
      </c>
    </row>
    <row r="69" ht="12.75">
      <c r="A69" s="90">
        <v>9</v>
      </c>
    </row>
    <row r="70" ht="12.75">
      <c r="A70" s="90">
        <v>10</v>
      </c>
    </row>
    <row r="71" ht="12.75">
      <c r="A71" s="90">
        <v>11</v>
      </c>
    </row>
    <row r="72" ht="12.75">
      <c r="A72" s="90">
        <v>12</v>
      </c>
    </row>
    <row r="73" ht="12.75">
      <c r="A73" s="90">
        <v>13</v>
      </c>
    </row>
    <row r="74" ht="12.75">
      <c r="A74" s="90">
        <v>14</v>
      </c>
    </row>
    <row r="75" ht="12.75">
      <c r="A75" s="90">
        <v>15</v>
      </c>
    </row>
    <row r="76" ht="12.75">
      <c r="A76" s="90">
        <v>16</v>
      </c>
    </row>
    <row r="77" ht="12.75">
      <c r="A77" s="90">
        <v>17</v>
      </c>
    </row>
    <row r="78" ht="12.75">
      <c r="A78" s="90">
        <v>18</v>
      </c>
    </row>
    <row r="79" ht="12.75">
      <c r="A79" s="90">
        <v>19</v>
      </c>
    </row>
    <row r="80" ht="12.75">
      <c r="A80" s="90">
        <v>20</v>
      </c>
    </row>
    <row r="81" ht="12.75">
      <c r="A81" s="90">
        <v>21</v>
      </c>
    </row>
    <row r="82" ht="12.75">
      <c r="A82" s="90">
        <v>22</v>
      </c>
    </row>
    <row r="83" ht="12.75">
      <c r="A83" s="90">
        <v>23</v>
      </c>
    </row>
    <row r="84" ht="12.75">
      <c r="A84" s="90">
        <v>24</v>
      </c>
    </row>
    <row r="85" ht="12.75">
      <c r="A85" s="90">
        <v>25</v>
      </c>
    </row>
    <row r="86" ht="12.75">
      <c r="A86" s="90">
        <v>26</v>
      </c>
    </row>
    <row r="87" ht="12.75">
      <c r="A87" s="90">
        <v>27</v>
      </c>
    </row>
    <row r="88" ht="12.75">
      <c r="A88" s="90">
        <v>28</v>
      </c>
    </row>
    <row r="89" ht="12.75">
      <c r="A89" s="90">
        <v>29</v>
      </c>
    </row>
    <row r="90" ht="12.75">
      <c r="A90" s="90">
        <v>30</v>
      </c>
    </row>
    <row r="91" ht="12.75">
      <c r="A91" s="90">
        <v>31</v>
      </c>
    </row>
    <row r="93" spans="1:2" ht="12.75">
      <c r="A93" s="59" t="s">
        <v>165</v>
      </c>
      <c r="B93" s="60"/>
    </row>
    <row r="95" ht="12.75">
      <c r="A95" s="90"/>
    </row>
    <row r="96" spans="1:2" ht="12.75">
      <c r="A96" s="90">
        <v>1</v>
      </c>
      <c r="B96" s="1" t="s">
        <v>166</v>
      </c>
    </row>
    <row r="97" spans="1:2" ht="12.75">
      <c r="A97" s="90">
        <v>2</v>
      </c>
      <c r="B97" s="1" t="s">
        <v>167</v>
      </c>
    </row>
    <row r="98" spans="1:2" ht="12.75">
      <c r="A98" s="90">
        <v>3</v>
      </c>
      <c r="B98" s="1" t="s">
        <v>168</v>
      </c>
    </row>
    <row r="99" spans="1:2" ht="12.75">
      <c r="A99" s="90">
        <v>4</v>
      </c>
      <c r="B99" s="1" t="s">
        <v>176</v>
      </c>
    </row>
    <row r="100" spans="1:2" ht="12.75">
      <c r="A100" s="90">
        <v>5</v>
      </c>
      <c r="B100" s="1" t="s">
        <v>169</v>
      </c>
    </row>
    <row r="101" spans="1:2" ht="12.75">
      <c r="A101" s="90">
        <v>6</v>
      </c>
      <c r="B101" s="1" t="s">
        <v>170</v>
      </c>
    </row>
    <row r="102" spans="1:2" ht="12.75">
      <c r="A102" s="90">
        <v>7</v>
      </c>
      <c r="B102" s="1" t="s">
        <v>171</v>
      </c>
    </row>
    <row r="103" spans="1:2" ht="12.75">
      <c r="A103" s="90">
        <v>8</v>
      </c>
      <c r="B103" s="1" t="s">
        <v>172</v>
      </c>
    </row>
    <row r="104" spans="1:2" ht="12.75">
      <c r="A104" s="90">
        <v>9</v>
      </c>
      <c r="B104" s="1" t="s">
        <v>173</v>
      </c>
    </row>
    <row r="105" spans="1:2" ht="12.75">
      <c r="A105" s="90">
        <v>10</v>
      </c>
      <c r="B105" s="1" t="s">
        <v>174</v>
      </c>
    </row>
    <row r="106" spans="1:2" ht="12.75">
      <c r="A106" s="90">
        <v>11</v>
      </c>
      <c r="B106" s="1" t="s">
        <v>175</v>
      </c>
    </row>
    <row r="107" spans="1:2" ht="12.75">
      <c r="A107" s="90">
        <v>12</v>
      </c>
      <c r="B107" s="1" t="s">
        <v>177</v>
      </c>
    </row>
  </sheetData>
  <mergeCells count="5">
    <mergeCell ref="A7:B7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ICI</dc:title>
  <dc:subject/>
  <dc:creator>Walter</dc:creator>
  <cp:keywords/>
  <dc:description/>
  <cp:lastModifiedBy>Bio-rad</cp:lastModifiedBy>
  <cp:lastPrinted>2000-12-17T09:58:31Z</cp:lastPrinted>
  <dcterms:created xsi:type="dcterms:W3CDTF">2000-06-18T14:24:21Z</dcterms:created>
  <dcterms:modified xsi:type="dcterms:W3CDTF">2004-01-10T06:56:28Z</dcterms:modified>
  <cp:category/>
  <cp:version/>
  <cp:contentType/>
  <cp:contentStatus/>
</cp:coreProperties>
</file>