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Determinazione carico lavo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Riabilitazione</author>
  </authors>
  <commentList>
    <comment ref="B8" authorId="0">
      <text>
        <r>
          <rPr>
            <sz val="8"/>
            <rFont val="Tahoma"/>
            <family val="0"/>
          </rPr>
          <t>Punteggio conseguito dal pz</t>
        </r>
      </text>
    </comment>
    <comment ref="E8" authorId="0">
      <text>
        <r>
          <rPr>
            <sz val="8"/>
            <rFont val="Tahoma"/>
            <family val="0"/>
          </rPr>
          <t xml:space="preserve">Frazione del punteggio massimo possibile (dato raccolto/punteggio massimo possibile)
</t>
        </r>
      </text>
    </comment>
    <comment ref="F8" authorId="0">
      <text>
        <r>
          <rPr>
            <sz val="8"/>
            <rFont val="Tahoma"/>
            <family val="2"/>
          </rPr>
          <t>Peso attribuito arbitrariamente</t>
        </r>
      </text>
    </comment>
    <comment ref="G8" authorId="0">
      <text>
        <r>
          <rPr>
            <sz val="8"/>
            <rFont val="Tahoma"/>
            <family val="2"/>
          </rPr>
          <t>Fattore motiplicativo del dato raccolto (ottenuto da peso/somma dei pesi)</t>
        </r>
      </text>
    </comment>
    <comment ref="H8" authorId="0">
      <text>
        <r>
          <rPr>
            <sz val="8"/>
            <rFont val="Tahoma"/>
            <family val="0"/>
          </rPr>
          <t>Riduzione a scala x normalizzazione</t>
        </r>
      </text>
    </comment>
    <comment ref="I10" authorId="0">
      <text>
        <r>
          <rPr>
            <sz val="12"/>
            <rFont val="Tahoma"/>
            <family val="2"/>
          </rPr>
          <t>Scostamento dalla mediana</t>
        </r>
      </text>
    </comment>
    <comment ref="I11" authorId="0">
      <text>
        <r>
          <rPr>
            <sz val="12"/>
            <rFont val="Tahoma"/>
            <family val="2"/>
          </rPr>
          <t>Mediana</t>
        </r>
      </text>
    </comment>
    <comment ref="I12" authorId="0">
      <text>
        <r>
          <rPr>
            <sz val="12"/>
            <rFont val="Tahoma"/>
            <family val="2"/>
          </rPr>
          <t>Quadrato dello spostamento corretto</t>
        </r>
      </text>
    </comment>
    <comment ref="I13" authorId="0">
      <text>
        <r>
          <rPr>
            <sz val="12"/>
            <rFont val="Tahoma"/>
            <family val="2"/>
          </rPr>
          <t>Funzione iperbolica dello scostamento</t>
        </r>
      </text>
    </comment>
    <comment ref="I14" authorId="0">
      <text>
        <r>
          <rPr>
            <sz val="12"/>
            <rFont val="Tahoma"/>
            <family val="2"/>
          </rPr>
          <t>Come B19</t>
        </r>
      </text>
    </comment>
    <comment ref="I15" authorId="0">
      <text>
        <r>
          <rPr>
            <sz val="12"/>
            <rFont val="Tahoma"/>
            <family val="2"/>
          </rPr>
          <t>Valuta se BMI è compreso nel range di normalità</t>
        </r>
      </text>
    </comment>
    <comment ref="B18" authorId="0">
      <text>
        <r>
          <rPr>
            <b/>
            <sz val="12"/>
            <rFont val="Tahoma"/>
            <family val="2"/>
          </rPr>
          <t xml:space="preserve">                Classe NYHA</t>
        </r>
        <r>
          <rPr>
            <sz val="12"/>
            <rFont val="Tahoma"/>
            <family val="2"/>
          </rPr>
          <t xml:space="preserve">
1     dispnea sotto sforzo massimale
2     dispnea sotto sforzo  medio
3     dispnea sotto sforzo  minimo
4     dispnea a riposo</t>
        </r>
      </text>
    </comment>
    <comment ref="F20" authorId="0">
      <text>
        <r>
          <rPr>
            <sz val="8"/>
            <rFont val="Tahoma"/>
            <family val="2"/>
          </rPr>
          <t>Somma dei pesi</t>
        </r>
      </text>
    </comment>
    <comment ref="H20" authorId="0">
      <text>
        <r>
          <rPr>
            <sz val="8"/>
            <rFont val="Tahoma"/>
            <family val="2"/>
          </rPr>
          <t>% del lavoro massimo possibile</t>
        </r>
      </text>
    </comment>
    <comment ref="H21" authorId="0">
      <text>
        <r>
          <rPr>
            <b/>
            <sz val="12"/>
            <rFont val="Tahoma"/>
            <family val="2"/>
          </rPr>
          <t>Carico di lavoro in minuti</t>
        </r>
      </text>
    </comment>
    <comment ref="B13" authorId="0">
      <text>
        <r>
          <rPr>
            <sz val="12"/>
            <rFont val="Tahoma"/>
            <family val="2"/>
          </rPr>
          <t>Motricity Index
AS: 3 items da 0 a 33 (+1)
AI: 3 items da 0 a 33 (+1)
Punteggio per lato:= (AS+AI)/2</t>
        </r>
        <r>
          <rPr>
            <b/>
            <sz val="10"/>
            <rFont val="Tahoma"/>
            <family val="2"/>
          </rPr>
          <t xml:space="preserve">
</t>
        </r>
      </text>
    </comment>
    <comment ref="B14" authorId="0">
      <text>
        <r>
          <rPr>
            <sz val="12"/>
            <rFont val="Tahoma"/>
            <family val="2"/>
          </rPr>
          <t>Answorth
6 articolazioni punteggio da 0 a 4</t>
        </r>
      </text>
    </comment>
    <comment ref="B15" authorId="0">
      <text>
        <r>
          <rPr>
            <sz val="12"/>
            <rFont val="Tahoma"/>
            <family val="2"/>
          </rPr>
          <t>Trunk control test
4 items punteggio 0-12-25</t>
        </r>
      </text>
    </comment>
    <comment ref="B16" authorId="0">
      <text>
        <r>
          <rPr>
            <sz val="12"/>
            <rFont val="Tahoma"/>
            <family val="2"/>
          </rPr>
          <t>Standing Balance
1 item score 0-4</t>
        </r>
      </text>
    </comment>
    <comment ref="B19" authorId="0">
      <text>
        <r>
          <rPr>
            <sz val="12"/>
            <rFont val="Tahoma"/>
            <family val="2"/>
          </rPr>
          <t xml:space="preserve">       BMI - Valori normali
sotto i 14 anni       15
15-18 anni            18
19-24 anni          19-24
25-34 anni          20-25
35-44 anni          21-26
45-54 anni          22-27
55-64 anni          23-28
sopra i 65 anni    24-29</t>
        </r>
      </text>
    </comment>
  </commentList>
</comments>
</file>

<file path=xl/sharedStrings.xml><?xml version="1.0" encoding="utf-8"?>
<sst xmlns="http://schemas.openxmlformats.org/spreadsheetml/2006/main" count="35" uniqueCount="35">
  <si>
    <t>F</t>
  </si>
  <si>
    <t>Hospital anxiety and depression scale</t>
  </si>
  <si>
    <t>Trunk control test</t>
  </si>
  <si>
    <t>Rossi</t>
  </si>
  <si>
    <t>Mario</t>
  </si>
  <si>
    <t>Motricity index (affected side)</t>
  </si>
  <si>
    <t>Standing Balance by Bohannon</t>
  </si>
  <si>
    <t>Body Mass Index (BMI)</t>
  </si>
  <si>
    <t>required fields</t>
  </si>
  <si>
    <t>wrong values</t>
  </si>
  <si>
    <t>"Pergola" Workload Evaluation</t>
  </si>
  <si>
    <t>Family name</t>
  </si>
  <si>
    <t>Name</t>
  </si>
  <si>
    <t>Birth date (dd/mm/yyyy)</t>
  </si>
  <si>
    <t>Heigth (m)</t>
  </si>
  <si>
    <t>Weight (kg)</t>
  </si>
  <si>
    <t>Date (dd/mm/yyyy)</t>
  </si>
  <si>
    <t>Age (years)</t>
  </si>
  <si>
    <t>Fim (motor items)</t>
  </si>
  <si>
    <t>Fim (cognitive items)</t>
  </si>
  <si>
    <t>Ashworth (affected side)</t>
  </si>
  <si>
    <t>Oxygen saturation</t>
  </si>
  <si>
    <t>NYHA class</t>
  </si>
  <si>
    <t>ver. 1.6-E - by O.M.</t>
  </si>
  <si>
    <t>Score</t>
  </si>
  <si>
    <t>Minumum value</t>
  </si>
  <si>
    <t>Maximum value</t>
  </si>
  <si>
    <t>Weight</t>
  </si>
  <si>
    <t>Normalization</t>
  </si>
  <si>
    <t>Reduction to scale</t>
  </si>
  <si>
    <t>Normalized score</t>
  </si>
  <si>
    <t>Sex (M-F)</t>
  </si>
  <si>
    <t>% of maximum possible workload (120')</t>
  </si>
  <si>
    <t>(negative values indicate treatment appropriateless)</t>
  </si>
  <si>
    <t>recommended treatment length (minutes)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</si>
</sst>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/yyyy"/>
    <numFmt numFmtId="171" formatCode="0.0"/>
  </numFmts>
  <fonts count="21">
    <font>
      <sz val="10"/>
      <name val="Arial"/>
      <family val="0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2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0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horizontal="justify"/>
      <protection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/>
    </xf>
    <xf numFmtId="2" fontId="8" fillId="0" borderId="3" xfId="0" applyNumberFormat="1" applyFont="1" applyBorder="1" applyAlignment="1" applyProtection="1">
      <alignment horizontal="center" vertical="center"/>
      <protection/>
    </xf>
    <xf numFmtId="2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top" wrapText="1"/>
      <protection/>
    </xf>
    <xf numFmtId="2" fontId="11" fillId="0" borderId="3" xfId="0" applyNumberFormat="1" applyFont="1" applyBorder="1" applyAlignment="1" applyProtection="1">
      <alignment horizontal="center" vertical="top" wrapText="1"/>
      <protection/>
    </xf>
    <xf numFmtId="171" fontId="10" fillId="0" borderId="3" xfId="0" applyNumberFormat="1" applyFont="1" applyBorder="1" applyAlignment="1" applyProtection="1">
      <alignment horizontal="center" vertical="top" wrapText="1"/>
      <protection/>
    </xf>
    <xf numFmtId="2" fontId="10" fillId="0" borderId="3" xfId="0" applyNumberFormat="1" applyFont="1" applyBorder="1" applyAlignment="1" applyProtection="1">
      <alignment horizontal="center" vertical="top" wrapText="1"/>
      <protection/>
    </xf>
    <xf numFmtId="0" fontId="8" fillId="0" borderId="3" xfId="0" applyFont="1" applyBorder="1" applyAlignment="1" applyProtection="1">
      <alignment horizontal="justify" vertical="top" wrapText="1"/>
      <protection/>
    </xf>
    <xf numFmtId="2" fontId="9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3" xfId="0" applyFont="1" applyFill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justify"/>
      <protection/>
    </xf>
    <xf numFmtId="0" fontId="9" fillId="0" borderId="3" xfId="0" applyFont="1" applyBorder="1" applyAlignment="1" applyProtection="1">
      <alignment horizontal="justify" vertical="center"/>
      <protection/>
    </xf>
    <xf numFmtId="2" fontId="9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justify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4" xfId="0" applyFont="1" applyBorder="1" applyAlignment="1" applyProtection="1">
      <alignment horizontal="justify" vertical="center" wrapText="1"/>
      <protection/>
    </xf>
    <xf numFmtId="0" fontId="8" fillId="0" borderId="2" xfId="0" applyFont="1" applyBorder="1" applyAlignment="1" applyProtection="1">
      <alignment horizontal="justify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justify" vertical="center"/>
      <protection/>
    </xf>
    <xf numFmtId="0" fontId="8" fillId="0" borderId="2" xfId="0" applyFont="1" applyBorder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" fontId="17" fillId="0" borderId="3" xfId="0" applyNumberFormat="1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center" vertical="top" wrapText="1"/>
      <protection/>
    </xf>
    <xf numFmtId="0" fontId="18" fillId="0" borderId="3" xfId="0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A1">
      <selection activeCell="F20" sqref="F20"/>
    </sheetView>
  </sheetViews>
  <sheetFormatPr defaultColWidth="9.140625" defaultRowHeight="15.75" customHeight="1"/>
  <cols>
    <col min="1" max="1" width="38.00390625" style="2" customWidth="1"/>
    <col min="2" max="3" width="14.140625" style="2" customWidth="1"/>
    <col min="4" max="4" width="15.00390625" style="2" customWidth="1"/>
    <col min="5" max="5" width="13.7109375" style="2" customWidth="1"/>
    <col min="6" max="6" width="10.7109375" style="31" customWidth="1"/>
    <col min="7" max="7" width="15.7109375" style="2" customWidth="1"/>
    <col min="8" max="8" width="18.7109375" style="2" customWidth="1"/>
    <col min="9" max="9" width="32.00390625" style="2" customWidth="1"/>
    <col min="10" max="16384" width="9.140625" style="2" customWidth="1"/>
  </cols>
  <sheetData>
    <row r="1" spans="2:8" s="1" customFormat="1" ht="24.75" customHeight="1">
      <c r="B1" s="45" t="s">
        <v>10</v>
      </c>
      <c r="C1" s="45"/>
      <c r="D1" s="45"/>
      <c r="E1" s="45"/>
      <c r="F1" s="45"/>
      <c r="G1" s="45"/>
      <c r="H1" s="45"/>
    </row>
    <row r="2" spans="1:9" s="1" customFormat="1" ht="15.7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8" ht="17.25" customHeight="1">
      <c r="A3" s="47" t="s">
        <v>8</v>
      </c>
      <c r="B3" s="47"/>
      <c r="C3" s="47"/>
      <c r="D3" s="48" t="s">
        <v>9</v>
      </c>
      <c r="E3" s="48"/>
      <c r="F3" s="48"/>
      <c r="G3" s="48"/>
      <c r="H3" s="48"/>
    </row>
    <row r="4" spans="1:9" s="1" customFormat="1" ht="15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s="5" customFormat="1" ht="44.25" customHeight="1">
      <c r="A5" s="3" t="s">
        <v>11</v>
      </c>
      <c r="B5" s="39" t="s">
        <v>12</v>
      </c>
      <c r="C5" s="39"/>
      <c r="D5" s="4" t="s">
        <v>13</v>
      </c>
      <c r="E5" s="4" t="s">
        <v>31</v>
      </c>
      <c r="F5" s="4" t="s">
        <v>14</v>
      </c>
      <c r="G5" s="4" t="s">
        <v>15</v>
      </c>
      <c r="H5" s="4" t="s">
        <v>16</v>
      </c>
      <c r="I5" s="4" t="s">
        <v>17</v>
      </c>
    </row>
    <row r="6" spans="1:9" s="9" customFormat="1" ht="24.75" customHeight="1">
      <c r="A6" s="6" t="s">
        <v>3</v>
      </c>
      <c r="B6" s="40" t="s">
        <v>4</v>
      </c>
      <c r="C6" s="41"/>
      <c r="D6" s="7">
        <v>13130</v>
      </c>
      <c r="E6" s="6" t="s">
        <v>0</v>
      </c>
      <c r="F6" s="6">
        <v>1.63</v>
      </c>
      <c r="G6" s="6">
        <v>68</v>
      </c>
      <c r="H6" s="7">
        <v>37756</v>
      </c>
      <c r="I6" s="8">
        <f>(H6-D6)/365</f>
        <v>67.46849315068494</v>
      </c>
    </row>
    <row r="7" spans="1:9" s="10" customFormat="1" ht="24.75" customHeight="1">
      <c r="A7" s="42"/>
      <c r="B7" s="43"/>
      <c r="C7" s="43"/>
      <c r="D7" s="43"/>
      <c r="E7" s="43"/>
      <c r="F7" s="43"/>
      <c r="G7" s="43"/>
      <c r="H7" s="43"/>
      <c r="I7" s="44"/>
    </row>
    <row r="8" spans="1:9" s="11" customFormat="1" ht="15.75" customHeight="1">
      <c r="A8" s="36"/>
      <c r="B8" s="34" t="s">
        <v>24</v>
      </c>
      <c r="C8" s="34" t="s">
        <v>25</v>
      </c>
      <c r="D8" s="34" t="s">
        <v>26</v>
      </c>
      <c r="E8" s="34" t="s">
        <v>29</v>
      </c>
      <c r="F8" s="34" t="s">
        <v>27</v>
      </c>
      <c r="G8" s="34" t="s">
        <v>28</v>
      </c>
      <c r="H8" s="34" t="s">
        <v>30</v>
      </c>
      <c r="I8" s="32"/>
    </row>
    <row r="9" spans="1:9" s="11" customFormat="1" ht="20.25" customHeight="1">
      <c r="A9" s="37"/>
      <c r="B9" s="35"/>
      <c r="C9" s="35"/>
      <c r="D9" s="35"/>
      <c r="E9" s="35"/>
      <c r="F9" s="35"/>
      <c r="G9" s="35"/>
      <c r="H9" s="35"/>
      <c r="I9" s="33"/>
    </row>
    <row r="10" spans="1:9" ht="18.75" customHeight="1">
      <c r="A10" s="12" t="s">
        <v>18</v>
      </c>
      <c r="B10" s="13">
        <v>91</v>
      </c>
      <c r="C10" s="14">
        <v>13</v>
      </c>
      <c r="D10" s="14">
        <v>91</v>
      </c>
      <c r="E10" s="15">
        <f>(B10-13)/(D10-13)</f>
        <v>1</v>
      </c>
      <c r="F10" s="15">
        <v>0.4</v>
      </c>
      <c r="G10" s="15">
        <f>F10/F20</f>
        <v>0.08333333333333334</v>
      </c>
      <c r="H10" s="15">
        <f aca="true" t="shared" si="0" ref="H10:H19">E10*G10</f>
        <v>0.08333333333333334</v>
      </c>
      <c r="I10" s="16">
        <f>B19-((D19+C19)/2)</f>
        <v>-0.9062629380104603</v>
      </c>
    </row>
    <row r="11" spans="1:9" ht="18.75" customHeight="1">
      <c r="A11" s="12" t="s">
        <v>19</v>
      </c>
      <c r="B11" s="13">
        <v>35</v>
      </c>
      <c r="C11" s="14">
        <v>5</v>
      </c>
      <c r="D11" s="14">
        <v>35</v>
      </c>
      <c r="E11" s="15">
        <f>(B11-5)/(D11-5)</f>
        <v>1</v>
      </c>
      <c r="F11" s="15">
        <v>0.6</v>
      </c>
      <c r="G11" s="15">
        <f>F11/F20</f>
        <v>0.125</v>
      </c>
      <c r="H11" s="15">
        <f t="shared" si="0"/>
        <v>0.125</v>
      </c>
      <c r="I11" s="17">
        <f>(D19+C19)/2</f>
        <v>26.5</v>
      </c>
    </row>
    <row r="12" spans="1:9" ht="18.75" customHeight="1">
      <c r="A12" s="12" t="s">
        <v>1</v>
      </c>
      <c r="B12" s="13">
        <v>0</v>
      </c>
      <c r="C12" s="14">
        <v>0</v>
      </c>
      <c r="D12" s="14">
        <v>42</v>
      </c>
      <c r="E12" s="15">
        <f>(D12-B12)/D12</f>
        <v>1</v>
      </c>
      <c r="F12" s="15">
        <v>0.6</v>
      </c>
      <c r="G12" s="15">
        <f>F12/F20</f>
        <v>0.125</v>
      </c>
      <c r="H12" s="15">
        <f t="shared" si="0"/>
        <v>0.125</v>
      </c>
      <c r="I12" s="18">
        <f>POWER(I15/4,2)</f>
        <v>0</v>
      </c>
    </row>
    <row r="13" spans="1:9" ht="18.75" customHeight="1">
      <c r="A13" s="12" t="s">
        <v>5</v>
      </c>
      <c r="B13" s="13">
        <v>100</v>
      </c>
      <c r="C13" s="14">
        <v>1</v>
      </c>
      <c r="D13" s="14">
        <v>100</v>
      </c>
      <c r="E13" s="15">
        <f>B13/D13</f>
        <v>1</v>
      </c>
      <c r="F13" s="15">
        <v>0.4</v>
      </c>
      <c r="G13" s="15">
        <f>F13/F20</f>
        <v>0.08333333333333334</v>
      </c>
      <c r="H13" s="15">
        <f t="shared" si="0"/>
        <v>0.08333333333333334</v>
      </c>
      <c r="I13" s="19">
        <f>1/(1/I10)</f>
        <v>-0.9062629380104603</v>
      </c>
    </row>
    <row r="14" spans="1:9" ht="18.75" customHeight="1">
      <c r="A14" s="12" t="s">
        <v>20</v>
      </c>
      <c r="B14" s="13">
        <v>0</v>
      </c>
      <c r="C14" s="14">
        <v>0</v>
      </c>
      <c r="D14" s="14">
        <v>24</v>
      </c>
      <c r="E14" s="15">
        <f>(D14-B14)/D14</f>
        <v>1</v>
      </c>
      <c r="F14" s="15">
        <v>0.3</v>
      </c>
      <c r="G14" s="15">
        <f>F14/F20</f>
        <v>0.0625</v>
      </c>
      <c r="H14" s="15">
        <f t="shared" si="0"/>
        <v>0.0625</v>
      </c>
      <c r="I14" s="20">
        <f>G6/(F6*F6)</f>
        <v>25.59373706198954</v>
      </c>
    </row>
    <row r="15" spans="1:9" ht="18.75" customHeight="1">
      <c r="A15" s="12" t="s">
        <v>2</v>
      </c>
      <c r="B15" s="13">
        <v>100</v>
      </c>
      <c r="C15" s="14">
        <v>0</v>
      </c>
      <c r="D15" s="14">
        <v>100</v>
      </c>
      <c r="E15" s="15">
        <f>B15/D15</f>
        <v>1</v>
      </c>
      <c r="F15" s="15">
        <v>0.6</v>
      </c>
      <c r="G15" s="15">
        <f>F15/F20</f>
        <v>0.125</v>
      </c>
      <c r="H15" s="15">
        <f t="shared" si="0"/>
        <v>0.125</v>
      </c>
      <c r="I15" s="18">
        <f>IF(I14&lt;C19,(1/(1/I10)),IF(I14&gt;D19,(1/(1/I10)),0))</f>
        <v>0</v>
      </c>
    </row>
    <row r="16" spans="1:9" ht="18.75" customHeight="1">
      <c r="A16" s="12" t="s">
        <v>6</v>
      </c>
      <c r="B16" s="13">
        <v>4</v>
      </c>
      <c r="C16" s="14">
        <v>0</v>
      </c>
      <c r="D16" s="14">
        <v>4</v>
      </c>
      <c r="E16" s="15">
        <f>B16/D16</f>
        <v>1</v>
      </c>
      <c r="F16" s="15">
        <v>0.3</v>
      </c>
      <c r="G16" s="15">
        <f>F16/F20</f>
        <v>0.0625</v>
      </c>
      <c r="H16" s="15">
        <f t="shared" si="0"/>
        <v>0.0625</v>
      </c>
      <c r="I16" s="21"/>
    </row>
    <row r="17" spans="1:9" ht="18.75" customHeight="1">
      <c r="A17" s="12" t="s">
        <v>21</v>
      </c>
      <c r="B17" s="13">
        <v>100</v>
      </c>
      <c r="C17" s="14">
        <v>80</v>
      </c>
      <c r="D17" s="14">
        <v>100</v>
      </c>
      <c r="E17" s="15">
        <f>(B17-80)/(D17-80)</f>
        <v>1</v>
      </c>
      <c r="F17" s="15">
        <v>0.6</v>
      </c>
      <c r="G17" s="15">
        <f>F17/F20</f>
        <v>0.125</v>
      </c>
      <c r="H17" s="15">
        <f t="shared" si="0"/>
        <v>0.125</v>
      </c>
      <c r="I17" s="21"/>
    </row>
    <row r="18" spans="1:9" ht="18.75" customHeight="1">
      <c r="A18" s="12" t="s">
        <v>22</v>
      </c>
      <c r="B18" s="13">
        <v>1</v>
      </c>
      <c r="C18" s="14">
        <v>1</v>
      </c>
      <c r="D18" s="14">
        <v>4</v>
      </c>
      <c r="E18" s="15">
        <f>((D18-1)-(B18-1))/(D18-1)</f>
        <v>1</v>
      </c>
      <c r="F18" s="15">
        <v>0.8</v>
      </c>
      <c r="G18" s="15">
        <f>F18/F20</f>
        <v>0.16666666666666669</v>
      </c>
      <c r="H18" s="15">
        <f t="shared" si="0"/>
        <v>0.16666666666666669</v>
      </c>
      <c r="I18" s="21"/>
    </row>
    <row r="19" spans="1:9" ht="18.75" customHeight="1">
      <c r="A19" s="12" t="s">
        <v>7</v>
      </c>
      <c r="B19" s="22">
        <f>G6/(F6*F6)</f>
        <v>25.59373706198954</v>
      </c>
      <c r="C19" s="23">
        <f>IF(I6&gt;64,24,IF(I6&gt;54,23,IF(I6&gt;44,22,IF(I6&gt;34,21,IF(I6&gt;24,20,IF(I6&gt;18,19,IF(I6&gt;14,18,IF(I6&lt;15,15))))))))</f>
        <v>24</v>
      </c>
      <c r="D19" s="23">
        <f>IF(I6&gt;64,29,IF(I6&gt;54,28,IF(I6&gt;44,27,IF(I6&gt;34,26,IF(I6&gt;24,25,IF(I6&gt;18,24,IF(I6&gt;14,18,IF(I6&lt;15,15))))))))</f>
        <v>29</v>
      </c>
      <c r="E19" s="15">
        <f>IF((I12=0),1,((I12)*(-1)))</f>
        <v>1</v>
      </c>
      <c r="F19" s="15">
        <v>0.2</v>
      </c>
      <c r="G19" s="15">
        <f>F19/F20</f>
        <v>0.04166666666666667</v>
      </c>
      <c r="H19" s="15">
        <f t="shared" si="0"/>
        <v>0.04166666666666667</v>
      </c>
      <c r="I19" s="21"/>
    </row>
    <row r="20" spans="1:9" s="27" customFormat="1" ht="33.75" customHeight="1">
      <c r="A20" s="24"/>
      <c r="B20" s="25"/>
      <c r="C20" s="25"/>
      <c r="D20" s="25"/>
      <c r="E20" s="25"/>
      <c r="F20" s="26">
        <f>SUM(F10:F19)</f>
        <v>4.8</v>
      </c>
      <c r="G20" s="26">
        <f>SUM(G10:G19)</f>
        <v>1.0000000000000002</v>
      </c>
      <c r="H20" s="49">
        <f>SUM(H10:H19)*100</f>
        <v>100.00000000000003</v>
      </c>
      <c r="I20" s="50" t="s">
        <v>32</v>
      </c>
    </row>
    <row r="21" spans="1:9" ht="36.75" customHeight="1">
      <c r="A21" s="12"/>
      <c r="B21" s="28"/>
      <c r="C21" s="28"/>
      <c r="D21" s="28"/>
      <c r="E21" s="28"/>
      <c r="F21" s="29"/>
      <c r="G21" s="30"/>
      <c r="H21" s="49">
        <f>H20*120/100</f>
        <v>120.00000000000004</v>
      </c>
      <c r="I21" s="51" t="s">
        <v>34</v>
      </c>
    </row>
    <row r="22" ht="15.75" customHeight="1">
      <c r="I22" s="52" t="s">
        <v>33</v>
      </c>
    </row>
    <row r="23" ht="15.75" customHeight="1">
      <c r="I23" s="53"/>
    </row>
    <row r="24" ht="15.75" customHeight="1">
      <c r="I24" s="53"/>
    </row>
  </sheetData>
  <sheetProtection password="D3E8" sheet="1" objects="1" scenarios="1"/>
  <mergeCells count="18">
    <mergeCell ref="B1:H1"/>
    <mergeCell ref="A2:I2"/>
    <mergeCell ref="A3:C3"/>
    <mergeCell ref="D3:H3"/>
    <mergeCell ref="A4:I4"/>
    <mergeCell ref="B5:C5"/>
    <mergeCell ref="B6:C6"/>
    <mergeCell ref="A7:I7"/>
    <mergeCell ref="A8:A9"/>
    <mergeCell ref="B8:B9"/>
    <mergeCell ref="C8:C9"/>
    <mergeCell ref="D8:D9"/>
    <mergeCell ref="I8:I9"/>
    <mergeCell ref="I22:I24"/>
    <mergeCell ref="E8:E9"/>
    <mergeCell ref="F8:F9"/>
    <mergeCell ref="G8:G9"/>
    <mergeCell ref="H8:H9"/>
  </mergeCells>
  <conditionalFormatting sqref="D19">
    <cfRule type="cellIs" priority="1" dxfId="0" operator="lessThan" stopIfTrue="1">
      <formula>15</formula>
    </cfRule>
    <cfRule type="cellIs" priority="2" dxfId="0" operator="greaterThan" stopIfTrue="1">
      <formula>29</formula>
    </cfRule>
  </conditionalFormatting>
  <conditionalFormatting sqref="C19">
    <cfRule type="cellIs" priority="3" dxfId="0" operator="lessThan" stopIfTrue="1">
      <formula>15</formula>
    </cfRule>
    <cfRule type="cellIs" priority="4" dxfId="0" operator="greaterThan" stopIfTrue="1">
      <formula>24</formula>
    </cfRule>
  </conditionalFormatting>
  <conditionalFormatting sqref="B10">
    <cfRule type="cellIs" priority="5" dxfId="0" operator="lessThan" stopIfTrue="1">
      <formula>13</formula>
    </cfRule>
    <cfRule type="cellIs" priority="6" dxfId="0" operator="greaterThan" stopIfTrue="1">
      <formula>91</formula>
    </cfRule>
  </conditionalFormatting>
  <conditionalFormatting sqref="B11">
    <cfRule type="cellIs" priority="7" dxfId="0" operator="lessThan" stopIfTrue="1">
      <formula>5</formula>
    </cfRule>
    <cfRule type="cellIs" priority="8" dxfId="0" operator="greaterThan" stopIfTrue="1">
      <formula>35</formula>
    </cfRule>
  </conditionalFormatting>
  <conditionalFormatting sqref="B13 B15">
    <cfRule type="cellIs" priority="9" dxfId="0" operator="lessThan" stopIfTrue="1">
      <formula>0</formula>
    </cfRule>
    <cfRule type="cellIs" priority="10" dxfId="0" operator="greaterThan" stopIfTrue="1">
      <formula>100</formula>
    </cfRule>
  </conditionalFormatting>
  <conditionalFormatting sqref="B12">
    <cfRule type="cellIs" priority="11" dxfId="0" operator="lessThan" stopIfTrue="1">
      <formula>0</formula>
    </cfRule>
    <cfRule type="cellIs" priority="12" dxfId="0" operator="greaterThan" stopIfTrue="1">
      <formula>42</formula>
    </cfRule>
  </conditionalFormatting>
  <conditionalFormatting sqref="B14">
    <cfRule type="cellIs" priority="13" dxfId="0" operator="lessThan" stopIfTrue="1">
      <formula>0</formula>
    </cfRule>
    <cfRule type="cellIs" priority="14" dxfId="0" operator="greaterThan" stopIfTrue="1">
      <formula>24</formula>
    </cfRule>
  </conditionalFormatting>
  <conditionalFormatting sqref="B16">
    <cfRule type="cellIs" priority="15" dxfId="0" operator="lessThan" stopIfTrue="1">
      <formula>0</formula>
    </cfRule>
    <cfRule type="cellIs" priority="16" dxfId="0" operator="greaterThan" stopIfTrue="1">
      <formula>4</formula>
    </cfRule>
  </conditionalFormatting>
  <conditionalFormatting sqref="B18">
    <cfRule type="cellIs" priority="17" dxfId="0" operator="lessThan" stopIfTrue="1">
      <formula>1</formula>
    </cfRule>
    <cfRule type="cellIs" priority="18" dxfId="0" operator="greaterThan" stopIfTrue="1">
      <formula>4</formula>
    </cfRule>
  </conditionalFormatting>
  <conditionalFormatting sqref="B17">
    <cfRule type="cellIs" priority="19" dxfId="0" operator="lessThan" stopIfTrue="1">
      <formula>80</formula>
    </cfRule>
    <cfRule type="cellIs" priority="20" dxfId="0" operator="greaterThan" stopIfTrue="1">
      <formula>100</formula>
    </cfRule>
  </conditionalFormatting>
  <printOptions/>
  <pageMargins left="0.75" right="0.75" top="1" bottom="1" header="0.5" footer="0.5"/>
  <pageSetup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Oriano Mercante</cp:lastModifiedBy>
  <dcterms:created xsi:type="dcterms:W3CDTF">2003-05-08T11:38:33Z</dcterms:created>
  <dcterms:modified xsi:type="dcterms:W3CDTF">2003-05-17T09:12:29Z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-1293027942</vt:i4>
  </property>
  <property fmtid="{D5CDD505-2E9C-101B-9397-08002B2CF9AE}" pid="3" name="_EmailSubject">
    <vt:lpwstr>Praga</vt:lpwstr>
  </property>
  <property fmtid="{D5CDD505-2E9C-101B-9397-08002B2CF9AE}" pid="4" name="_AuthorEmail">
    <vt:lpwstr>o.mercante@fastnet.it</vt:lpwstr>
  </property>
  <property fmtid="{D5CDD505-2E9C-101B-9397-08002B2CF9AE}" pid="5" name="_AuthorEmailDisplayName">
    <vt:lpwstr>Oriano Mercante</vt:lpwstr>
  </property>
</Properties>
</file>